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vanildes\fiocruz\Bioensaios- geral\Eliane-documentos em geral-plataforma\Formularios-RPT11H-NOVOS\"/>
    </mc:Choice>
  </mc:AlternateContent>
  <xr:revisionPtr revIDLastSave="0" documentId="13_ncr:1_{999AE019-601F-4CDD-B366-2FC751739413}" xr6:coauthVersionLast="45" xr6:coauthVersionMax="45" xr10:uidLastSave="{00000000-0000-0000-0000-000000000000}"/>
  <bookViews>
    <workbookView xWindow="20370" yWindow="-120" windowWidth="21840" windowHeight="13140" firstSheet="1" activeTab="3" xr2:uid="{00000000-000D-0000-FFFF-FFFF00000000}"/>
  </bookViews>
  <sheets>
    <sheet name="Grupos de custos - Anotacoes" sheetId="17" r:id="rId1"/>
    <sheet name="Preco e Custo por Servico" sheetId="10" r:id="rId2"/>
    <sheet name="Custo de mão de obra" sheetId="1" r:id="rId3"/>
    <sheet name="Custos com equipamentos" sheetId="18" r:id="rId4"/>
    <sheet name="Plataformas" sheetId="19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8" l="1"/>
  <c r="E56" i="10" l="1"/>
  <c r="H17" i="18" l="1"/>
  <c r="D17" i="18"/>
  <c r="I17" i="18" s="1"/>
  <c r="I9" i="18" l="1"/>
  <c r="I10" i="18"/>
  <c r="I11" i="18"/>
  <c r="I12" i="18"/>
  <c r="I13" i="18"/>
  <c r="I14" i="18"/>
  <c r="I15" i="18"/>
  <c r="I16" i="18"/>
  <c r="I18" i="18"/>
  <c r="I8" i="18"/>
  <c r="D13" i="18"/>
  <c r="D14" i="18"/>
  <c r="D16" i="18"/>
  <c r="D15" i="18"/>
  <c r="D12" i="18"/>
  <c r="D11" i="18"/>
  <c r="D10" i="18"/>
  <c r="D9" i="18"/>
  <c r="D8" i="18"/>
  <c r="D7" i="18"/>
  <c r="D6" i="18"/>
  <c r="H9" i="18"/>
  <c r="H10" i="18"/>
  <c r="H11" i="18"/>
  <c r="H12" i="18"/>
  <c r="H13" i="18"/>
  <c r="H14" i="18"/>
  <c r="H16" i="18"/>
  <c r="H18" i="18"/>
  <c r="I80" i="10" l="1"/>
  <c r="I81" i="10"/>
  <c r="I82" i="10"/>
  <c r="I83" i="10"/>
  <c r="I84" i="10"/>
  <c r="I85" i="10"/>
  <c r="E60" i="10"/>
  <c r="H60" i="10" s="1"/>
  <c r="E76" i="10" l="1"/>
  <c r="H59" i="10" l="1"/>
  <c r="E84" i="10"/>
  <c r="H84" i="10" s="1"/>
  <c r="E81" i="10"/>
  <c r="H81" i="10" s="1"/>
  <c r="E80" i="10"/>
  <c r="H80" i="10" s="1"/>
  <c r="E79" i="10"/>
  <c r="H79" i="10" s="1"/>
  <c r="E78" i="10"/>
  <c r="H78" i="10" s="1"/>
  <c r="E77" i="10"/>
  <c r="E73" i="10"/>
  <c r="E71" i="10"/>
  <c r="E69" i="10"/>
  <c r="E68" i="10"/>
  <c r="E67" i="10"/>
  <c r="E65" i="10"/>
  <c r="E64" i="10"/>
  <c r="E63" i="10"/>
  <c r="E66" i="10"/>
  <c r="E72" i="10"/>
  <c r="E74" i="10"/>
  <c r="E75" i="10"/>
  <c r="E82" i="10"/>
  <c r="H82" i="10" s="1"/>
  <c r="E83" i="10"/>
  <c r="H83" i="10" s="1"/>
  <c r="E85" i="10"/>
  <c r="H85" i="10" s="1"/>
  <c r="E62" i="10"/>
  <c r="E61" i="10"/>
  <c r="H61" i="10" s="1"/>
  <c r="G48" i="10"/>
  <c r="G49" i="10"/>
  <c r="G50" i="10"/>
  <c r="G51" i="10"/>
  <c r="G52" i="10"/>
  <c r="G53" i="10"/>
  <c r="G54" i="10"/>
  <c r="H54" i="10" s="1"/>
  <c r="G55" i="10"/>
  <c r="G56" i="10"/>
  <c r="I56" i="10"/>
  <c r="E55" i="10"/>
  <c r="I55" i="10" s="1"/>
  <c r="E54" i="10"/>
  <c r="I54" i="10" s="1"/>
  <c r="E53" i="10"/>
  <c r="I53" i="10" s="1"/>
  <c r="E52" i="10"/>
  <c r="I52" i="10" s="1"/>
  <c r="E51" i="10"/>
  <c r="I51" i="10" s="1"/>
  <c r="E50" i="10"/>
  <c r="I50" i="10" s="1"/>
  <c r="E49" i="10"/>
  <c r="I49" i="10" s="1"/>
  <c r="E48" i="10"/>
  <c r="I48" i="10" s="1"/>
  <c r="E47" i="10"/>
  <c r="E46" i="10"/>
  <c r="E45" i="10"/>
  <c r="I72" i="10" l="1"/>
  <c r="I76" i="10"/>
  <c r="I73" i="10"/>
  <c r="I77" i="10"/>
  <c r="I74" i="10"/>
  <c r="I78" i="10"/>
  <c r="I79" i="10"/>
  <c r="I71" i="10"/>
  <c r="I75" i="10"/>
  <c r="H50" i="10"/>
  <c r="H49" i="10"/>
  <c r="H56" i="10"/>
  <c r="H52" i="10"/>
  <c r="H48" i="10"/>
  <c r="H53" i="10"/>
  <c r="H55" i="10"/>
  <c r="H51" i="10"/>
  <c r="H69" i="10" l="1"/>
  <c r="I70" i="10" s="1"/>
  <c r="H68" i="10"/>
  <c r="I69" i="10" s="1"/>
  <c r="H67" i="10"/>
  <c r="I68" i="10" s="1"/>
  <c r="H66" i="10"/>
  <c r="I67" i="10" s="1"/>
  <c r="H65" i="10"/>
  <c r="I66" i="10" s="1"/>
  <c r="H64" i="10"/>
  <c r="H63" i="10"/>
  <c r="H62" i="10"/>
  <c r="E37" i="10"/>
  <c r="I61" i="10" l="1"/>
  <c r="I65" i="10"/>
  <c r="I63" i="10"/>
  <c r="I64" i="10"/>
  <c r="I62" i="10"/>
  <c r="I60" i="10"/>
  <c r="I59" i="10"/>
  <c r="K52" i="10"/>
  <c r="K56" i="10"/>
  <c r="K49" i="10"/>
  <c r="K53" i="10"/>
  <c r="K50" i="10"/>
  <c r="K54" i="10"/>
  <c r="K51" i="10"/>
  <c r="K55" i="10"/>
  <c r="G70" i="10" l="1"/>
  <c r="H15" i="18"/>
  <c r="H70" i="10" l="1"/>
  <c r="H6" i="18" l="1"/>
  <c r="I45" i="10" s="1"/>
  <c r="H72" i="10"/>
  <c r="H7" i="18" l="1"/>
  <c r="I46" i="10" s="1"/>
  <c r="H74" i="10"/>
  <c r="B28" i="10"/>
  <c r="D6" i="1" l="1"/>
  <c r="D7" i="1"/>
  <c r="D9" i="1"/>
  <c r="D10" i="1"/>
  <c r="D11" i="1"/>
  <c r="D5" i="1"/>
  <c r="E6" i="1"/>
  <c r="E7" i="1"/>
  <c r="E9" i="1"/>
  <c r="E10" i="1"/>
  <c r="E11" i="1"/>
  <c r="E5" i="1"/>
  <c r="E25" i="10"/>
  <c r="E24" i="10"/>
  <c r="E23" i="10"/>
  <c r="E22" i="10"/>
  <c r="A112" i="10" l="1"/>
  <c r="J43" i="10"/>
  <c r="G47" i="10" l="1"/>
  <c r="H47" i="10" s="1"/>
  <c r="K48" i="10" s="1"/>
  <c r="H8" i="18"/>
  <c r="I47" i="10" s="1"/>
  <c r="J46" i="10" s="1"/>
  <c r="I102" i="10"/>
  <c r="I95" i="10"/>
  <c r="I88" i="10"/>
  <c r="I101" i="10"/>
  <c r="I94" i="10"/>
  <c r="I87" i="10"/>
  <c r="I58" i="10"/>
  <c r="I36" i="10"/>
  <c r="J101" i="10"/>
  <c r="J94" i="10"/>
  <c r="J87" i="10"/>
  <c r="J58" i="10"/>
  <c r="K43" i="10"/>
  <c r="J36" i="10"/>
  <c r="J47" i="10" l="1"/>
  <c r="H76" i="10"/>
  <c r="H75" i="10"/>
  <c r="H77" i="10"/>
  <c r="E21" i="10"/>
  <c r="E115" i="10"/>
  <c r="E8" i="1" l="1"/>
  <c r="D8" i="1"/>
  <c r="I44" i="10"/>
  <c r="I7" i="18"/>
  <c r="G46" i="10" s="1"/>
  <c r="H46" i="10" s="1"/>
  <c r="K47" i="10" s="1"/>
  <c r="C20" i="10"/>
  <c r="C15" i="10"/>
  <c r="A110" i="10"/>
  <c r="J45" i="10" l="1"/>
  <c r="J44" i="10"/>
  <c r="I6" i="18"/>
  <c r="G45" i="10" s="1"/>
  <c r="H45" i="10" s="1"/>
  <c r="K46" i="10" s="1"/>
  <c r="C101" i="10"/>
  <c r="B101" i="10"/>
  <c r="A101" i="10"/>
  <c r="C94" i="10"/>
  <c r="B94" i="10"/>
  <c r="A94" i="10"/>
  <c r="C87" i="10"/>
  <c r="B87" i="10"/>
  <c r="A87" i="10"/>
  <c r="C58" i="10"/>
  <c r="B58" i="10"/>
  <c r="A58" i="10"/>
  <c r="C43" i="10"/>
  <c r="B43" i="10"/>
  <c r="A43" i="10"/>
  <c r="C36" i="10"/>
  <c r="B36" i="10"/>
  <c r="A36" i="10"/>
  <c r="H99" i="10"/>
  <c r="H98" i="10"/>
  <c r="H97" i="10"/>
  <c r="H96" i="10"/>
  <c r="H95" i="10"/>
  <c r="H92" i="10"/>
  <c r="H91" i="10"/>
  <c r="H90" i="10"/>
  <c r="H89" i="10"/>
  <c r="H88" i="10"/>
  <c r="J76" i="10" l="1"/>
  <c r="J75" i="10"/>
  <c r="G44" i="10"/>
  <c r="H44" i="10" s="1"/>
  <c r="J95" i="10"/>
  <c r="J88" i="10"/>
  <c r="K44" i="10" l="1"/>
  <c r="K45" i="10"/>
  <c r="F125" i="10"/>
  <c r="E125" i="10"/>
  <c r="D125" i="10"/>
  <c r="H106" i="10"/>
  <c r="H105" i="10"/>
  <c r="H104" i="10"/>
  <c r="H103" i="10"/>
  <c r="H102" i="10"/>
  <c r="H71" i="10"/>
  <c r="G38" i="10"/>
  <c r="H38" i="10" s="1"/>
  <c r="G39" i="10"/>
  <c r="H39" i="10" s="1"/>
  <c r="G40" i="10"/>
  <c r="H40" i="10" s="1"/>
  <c r="G41" i="10"/>
  <c r="H41" i="10" s="1"/>
  <c r="J83" i="10" l="1"/>
  <c r="J84" i="10"/>
  <c r="J81" i="10"/>
  <c r="J80" i="10"/>
  <c r="J79" i="10"/>
  <c r="J82" i="10"/>
  <c r="J77" i="10"/>
  <c r="J85" i="10"/>
  <c r="J78" i="10"/>
  <c r="J102" i="10"/>
  <c r="F5" i="1" l="1"/>
  <c r="F7" i="1"/>
  <c r="F8" i="1"/>
  <c r="F9" i="1"/>
  <c r="F10" i="1"/>
  <c r="F11" i="1"/>
  <c r="F6" i="1" l="1"/>
  <c r="G37" i="10"/>
  <c r="I37" i="10" l="1"/>
  <c r="H37" i="10"/>
  <c r="J37" i="10" s="1"/>
  <c r="F135" i="10" l="1"/>
  <c r="F139" i="10" s="1"/>
  <c r="H73" i="10"/>
  <c r="J74" i="10" l="1"/>
  <c r="J73" i="10"/>
  <c r="J72" i="10"/>
  <c r="J60" i="10"/>
  <c r="J66" i="10"/>
  <c r="J64" i="10"/>
  <c r="J68" i="10"/>
  <c r="J69" i="10"/>
  <c r="J65" i="10"/>
  <c r="J63" i="10"/>
  <c r="J67" i="10"/>
  <c r="J71" i="10"/>
  <c r="J70" i="10"/>
  <c r="J59" i="10"/>
  <c r="J61" i="10"/>
  <c r="J62" i="10"/>
  <c r="J51" i="10"/>
  <c r="J55" i="10"/>
  <c r="J48" i="10"/>
  <c r="J52" i="10"/>
  <c r="J56" i="10"/>
  <c r="J49" i="10"/>
  <c r="J53" i="10"/>
  <c r="J50" i="10"/>
  <c r="J54" i="10"/>
  <c r="D110" i="10"/>
  <c r="E121" i="10" s="1"/>
  <c r="D117" i="10"/>
  <c r="E117" i="10"/>
  <c r="F117" i="10"/>
  <c r="D112" i="10"/>
  <c r="F121" i="10" l="1"/>
  <c r="F123" i="10" s="1"/>
  <c r="F131" i="10" s="1"/>
  <c r="D121" i="10"/>
  <c r="D123" i="10" s="1"/>
  <c r="D131" i="10" s="1"/>
  <c r="D135" i="10" s="1"/>
  <c r="D139" i="10" s="1"/>
  <c r="E123" i="10"/>
  <c r="E131" i="10" s="1"/>
  <c r="E135" i="10" s="1"/>
  <c r="E139" i="10" s="1"/>
  <c r="F127" i="10" l="1"/>
  <c r="E127" i="10"/>
  <c r="D127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Jéssica Pris</author>
    <author>Daniel Eloi Pris</author>
    <author>IVANILDES BASTOS</author>
    <author>Pris</author>
    <author>Jéssica</author>
  </authors>
  <commentList>
    <comment ref="E16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Nesta linha você deve inserir os dados do serviço da Fiocruz a ser comparado</t>
        </r>
      </text>
    </comment>
    <comment ref="D36" authorId="1" shapeId="0" xr:uid="{00000000-0006-0000-0100-000002000000}">
      <text>
        <r>
          <rPr>
            <b/>
            <sz val="9"/>
            <color indexed="81"/>
            <rFont val="Segoe UI"/>
            <family val="2"/>
          </rPr>
          <t>Daniel Eloi Pris:</t>
        </r>
        <r>
          <rPr>
            <sz val="9"/>
            <color indexed="81"/>
            <rFont val="Segoe UI"/>
            <family val="2"/>
          </rPr>
          <t xml:space="preserve">
Selecione um dos recursos cadastrados na aba de mão de obra.
Se não existir, cadastre esse recurso na aba Custo de mão-de-obra</t>
        </r>
      </text>
    </comment>
    <comment ref="E37" authorId="1" shapeId="0" xr:uid="{79E04FAC-49EA-463E-9FA6-FF67E1213563}">
      <text>
        <r>
          <rPr>
            <b/>
            <sz val="9"/>
            <color indexed="81"/>
            <rFont val="Segoe UI"/>
            <family val="2"/>
          </rPr>
          <t>Ivanildes:</t>
        </r>
        <r>
          <rPr>
            <sz val="9"/>
            <color indexed="81"/>
            <rFont val="Segoe UI"/>
            <family val="2"/>
          </rPr>
          <t xml:space="preserve">
2 hora horas por dia para fazer 1 placa durante 3 dias, que é o tempo total para obter o resultado.</t>
        </r>
      </text>
    </comment>
    <comment ref="D43" authorId="1" shapeId="0" xr:uid="{00000000-0006-0000-0100-000004000000}">
      <text>
        <r>
          <rPr>
            <b/>
            <sz val="9"/>
            <color indexed="81"/>
            <rFont val="Segoe UI"/>
            <family val="2"/>
          </rPr>
          <t>Daniel Eloi Pris:</t>
        </r>
        <r>
          <rPr>
            <sz val="9"/>
            <color indexed="81"/>
            <rFont val="Segoe UI"/>
            <family val="2"/>
          </rPr>
          <t xml:space="preserve">
Selecione um dos equipamentos cadastrados na Custos com Equipamentos
Se não existir, cadastre esse Equipamento e suas premissas na aba Custo com Equipamentos</t>
        </r>
      </text>
    </comment>
    <comment ref="E44" authorId="2" shapeId="0" xr:uid="{76ACFDC8-FB31-4B68-B4F9-16570A11D939}">
      <text>
        <r>
          <rPr>
            <b/>
            <sz val="9"/>
            <color indexed="81"/>
            <rFont val="Segoe UI"/>
            <family val="2"/>
          </rPr>
          <t>IVANILDES BASTOS:</t>
        </r>
        <r>
          <rPr>
            <sz val="9"/>
            <color indexed="81"/>
            <rFont val="Segoe UI"/>
            <family val="2"/>
          </rPr>
          <t xml:space="preserve">
Essa quantidade de horas é para os 3 dias. Esses tempo de incubação no equipamento não muda, dependendo se é uma amostra ou mais.</t>
        </r>
      </text>
    </comment>
    <comment ref="D58" authorId="1" shapeId="0" xr:uid="{00000000-0006-0000-0100-000005000000}">
      <text>
        <r>
          <rPr>
            <b/>
            <sz val="9"/>
            <color indexed="81"/>
            <rFont val="Segoe UI"/>
            <family val="2"/>
          </rPr>
          <t>Daniel Eloi Pris:</t>
        </r>
        <r>
          <rPr>
            <sz val="9"/>
            <color indexed="81"/>
            <rFont val="Segoe UI"/>
            <family val="2"/>
          </rPr>
          <t xml:space="preserve">
Por existir uma grande variabilidade de materiais de consumo e de custos de materiais, cadastre diretamente aqui os materiais utilizados para a oferta desse serviço</t>
        </r>
      </text>
    </comment>
    <comment ref="D87" authorId="1" shapeId="0" xr:uid="{00000000-0006-0000-0100-000006000000}">
      <text>
        <r>
          <rPr>
            <b/>
            <sz val="9"/>
            <color indexed="81"/>
            <rFont val="Segoe UI"/>
            <family val="2"/>
          </rPr>
          <t>Daniel Eloi Pris:</t>
        </r>
        <r>
          <rPr>
            <sz val="9"/>
            <color indexed="81"/>
            <rFont val="Segoe UI"/>
            <family val="2"/>
          </rPr>
          <t xml:space="preserve">
Se existirem outros custos que não se enquadram nas categorias anteriores, cadastre neste grupo</t>
        </r>
      </text>
    </comment>
    <comment ref="D94" authorId="1" shapeId="0" xr:uid="{00000000-0006-0000-0100-000007000000}">
      <text>
        <r>
          <rPr>
            <b/>
            <sz val="9"/>
            <color indexed="81"/>
            <rFont val="Segoe UI"/>
            <family val="2"/>
          </rPr>
          <t>Daniel Eloi Pris:</t>
        </r>
        <r>
          <rPr>
            <sz val="9"/>
            <color indexed="81"/>
            <rFont val="Segoe UI"/>
            <family val="2"/>
          </rPr>
          <t xml:space="preserve">
Se existirem outros custos que não se enquadram nas categorias anteriores, cadastre neste grupo - Não se aplica para manutenção de equipamentos caso ela já esteja computada no custo dos equipamentos</t>
        </r>
      </text>
    </comment>
    <comment ref="D101" authorId="1" shapeId="0" xr:uid="{00000000-0006-0000-0100-000008000000}">
      <text>
        <r>
          <rPr>
            <b/>
            <sz val="9"/>
            <color indexed="81"/>
            <rFont val="Segoe UI"/>
            <family val="2"/>
          </rPr>
          <t>Daniel Eloi Pris:</t>
        </r>
        <r>
          <rPr>
            <sz val="9"/>
            <color indexed="81"/>
            <rFont val="Segoe UI"/>
            <family val="2"/>
          </rPr>
          <t xml:space="preserve">
Se existirem outros custos que não se enquadram nas categorias anteriores, cadastre neste grupo</t>
        </r>
      </text>
    </comment>
    <comment ref="D110" authorId="2" shapeId="0" xr:uid="{2C4D8D20-32ED-42ED-91BF-708DA244A285}">
      <text>
        <r>
          <rPr>
            <b/>
            <sz val="9"/>
            <color indexed="81"/>
            <rFont val="Segoe UI"/>
            <family val="2"/>
          </rPr>
          <t>IVANILDES BASTOS:</t>
        </r>
        <r>
          <rPr>
            <sz val="9"/>
            <color indexed="81"/>
            <rFont val="Segoe UI"/>
            <family val="2"/>
          </rPr>
          <t xml:space="preserve">
Achei um valor extremamente alto, pois os custeio para o funcionamento dos equipamentos não variam se faço uma amostra ou mais. </t>
        </r>
      </text>
    </comment>
    <comment ref="D112" authorId="3" shapeId="0" xr:uid="{00000000-0006-0000-0100-000009000000}">
      <text>
        <r>
          <rPr>
            <b/>
            <sz val="9"/>
            <color indexed="81"/>
            <rFont val="Segoe UI"/>
            <family val="2"/>
          </rPr>
          <t>Ivanildes:</t>
        </r>
        <r>
          <rPr>
            <sz val="9"/>
            <color indexed="81"/>
            <rFont val="Segoe UI"/>
            <family val="2"/>
          </rPr>
          <t xml:space="preserve">
Esse é o custo adicional para produção de uma unidade. Cobrando este preço, a Fiocruz cobriria seus custos variáveis, mas não cobriria custos fixos e despesas (overhead).</t>
        </r>
      </text>
    </comment>
    <comment ref="D119" authorId="4" shapeId="0" xr:uid="{00000000-0006-0000-0100-00000A000000}">
      <text>
        <r>
          <rPr>
            <sz val="9"/>
            <color indexed="81"/>
            <rFont val="Segoe UI"/>
            <family val="2"/>
          </rPr>
          <t>Preencha com a % do custo do serviço atribuída a despesas de overhead</t>
        </r>
      </text>
    </comment>
    <comment ref="E119" authorId="4" shapeId="0" xr:uid="{00000000-0006-0000-0100-00000B000000}">
      <text>
        <r>
          <rPr>
            <sz val="9"/>
            <color indexed="81"/>
            <rFont val="Segoe UI"/>
            <family val="2"/>
          </rPr>
          <t>Preencha com a % do custo do serviço atribuída a despesas de overhead</t>
        </r>
      </text>
    </comment>
    <comment ref="F119" authorId="4" shapeId="0" xr:uid="{00000000-0006-0000-0100-00000C000000}">
      <text>
        <r>
          <rPr>
            <sz val="9"/>
            <color indexed="81"/>
            <rFont val="Segoe UI"/>
            <family val="2"/>
          </rPr>
          <t>Preencha com a % do custo do serviço atribuída a despesas de overhead</t>
        </r>
      </text>
    </comment>
    <comment ref="D129" authorId="4" shapeId="0" xr:uid="{00000000-0006-0000-0100-00000D000000}">
      <text>
        <r>
          <rPr>
            <b/>
            <sz val="9"/>
            <color indexed="81"/>
            <rFont val="Segoe UI"/>
            <family val="2"/>
          </rPr>
          <t>Preencha com a margem de lucro desejada</t>
        </r>
      </text>
    </comment>
    <comment ref="E129" authorId="4" shapeId="0" xr:uid="{00000000-0006-0000-0100-00000E000000}">
      <text>
        <r>
          <rPr>
            <b/>
            <sz val="9"/>
            <color indexed="81"/>
            <rFont val="Segoe UI"/>
            <family val="2"/>
          </rPr>
          <t>Preencha com a margem de lucro desejada</t>
        </r>
      </text>
    </comment>
    <comment ref="F129" authorId="4" shapeId="0" xr:uid="{00000000-0006-0000-0100-00000F000000}">
      <text>
        <r>
          <rPr>
            <b/>
            <sz val="9"/>
            <color indexed="81"/>
            <rFont val="Segoe UI"/>
            <family val="2"/>
          </rPr>
          <t>Preencha com a margem de lucro desejada</t>
        </r>
      </text>
    </comment>
    <comment ref="D137" authorId="4" shapeId="0" xr:uid="{00000000-0006-0000-0100-000010000000}">
      <text>
        <r>
          <rPr>
            <sz val="9"/>
            <color indexed="81"/>
            <rFont val="Segoe UI"/>
            <family val="2"/>
          </rPr>
          <t>Preencha com a % do preço do serviço atribuída ao overhead</t>
        </r>
      </text>
    </comment>
    <comment ref="E137" authorId="4" shapeId="0" xr:uid="{00000000-0006-0000-0100-000011000000}">
      <text>
        <r>
          <rPr>
            <sz val="9"/>
            <color indexed="81"/>
            <rFont val="Segoe UI"/>
            <family val="2"/>
          </rPr>
          <t>Preencha com a % do preço do serviço atribuída ao overhead</t>
        </r>
      </text>
    </comment>
    <comment ref="F137" authorId="4" shapeId="0" xr:uid="{00000000-0006-0000-0100-000012000000}">
      <text>
        <r>
          <rPr>
            <sz val="9"/>
            <color indexed="81"/>
            <rFont val="Segoe UI"/>
            <family val="2"/>
          </rPr>
          <t>Preencha com a % do preço do serviço atribuída ao overhead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Pris</author>
    <author>Daniel Eloi Pris</author>
    <author>Aluno04</author>
  </authors>
  <commentList>
    <comment ref="C5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Pris:</t>
        </r>
        <r>
          <rPr>
            <sz val="9"/>
            <color indexed="81"/>
            <rFont val="Segoe UI"/>
            <family val="2"/>
          </rPr>
          <t xml:space="preserve">
O valor de reposição é utillizado para considerar a depreciação do equipamento ao longo dos anos, dado que será necessária a sua subtituição após o tempo limete de uso.</t>
        </r>
      </text>
    </comment>
    <comment ref="F5" authorId="0" shapeId="0" xr:uid="{00000000-0006-0000-0300-000002000000}">
      <text>
        <r>
          <rPr>
            <b/>
            <sz val="9"/>
            <color indexed="81"/>
            <rFont val="Segoe UI"/>
            <family val="2"/>
          </rPr>
          <t>Pris:</t>
        </r>
        <r>
          <rPr>
            <sz val="9"/>
            <color indexed="81"/>
            <rFont val="Segoe UI"/>
            <family val="2"/>
          </rPr>
          <t xml:space="preserve">
Esse campo é utilizado para contabilização do custo estimado com energia durante o uso do equipamento</t>
        </r>
      </text>
    </comment>
    <comment ref="G5" authorId="0" shapeId="0" xr:uid="{00000000-0006-0000-0300-000003000000}">
      <text>
        <r>
          <rPr>
            <b/>
            <sz val="9"/>
            <color indexed="81"/>
            <rFont val="Segoe UI"/>
            <family val="2"/>
          </rPr>
          <t>Pris:</t>
        </r>
        <r>
          <rPr>
            <sz val="9"/>
            <color indexed="81"/>
            <rFont val="Segoe UI"/>
            <family val="2"/>
          </rPr>
          <t xml:space="preserve">
Esse custo leva em consideração a manutenção que será necessária ao aparelho após o uso </t>
        </r>
      </text>
    </comment>
    <comment ref="D6" authorId="1" shapeId="0" xr:uid="{00000000-0006-0000-0300-000004000000}">
      <text>
        <r>
          <rPr>
            <b/>
            <sz val="9"/>
            <color indexed="81"/>
            <rFont val="Segoe UI"/>
            <family val="2"/>
          </rPr>
          <t>Ivanildes</t>
        </r>
        <r>
          <rPr>
            <sz val="9"/>
            <color indexed="81"/>
            <rFont val="Segoe UI"/>
            <family val="2"/>
          </rPr>
          <t xml:space="preserve">
10 anos
1 horas por dia
3 dias por semana
52 semanas por ano</t>
        </r>
      </text>
    </comment>
    <comment ref="G6" authorId="1" shapeId="0" xr:uid="{00000000-0006-0000-0300-000005000000}">
      <text>
        <r>
          <rPr>
            <b/>
            <sz val="9"/>
            <color indexed="81"/>
            <rFont val="Segoe UI"/>
            <family val="2"/>
          </rPr>
          <t>Daniel Eloi Pris:</t>
        </r>
        <r>
          <rPr>
            <sz val="9"/>
            <color indexed="81"/>
            <rFont val="Segoe UI"/>
            <family val="2"/>
          </rPr>
          <t xml:space="preserve">
Contrato anual médio de manutençao preventiva e corretiva de R$30k dividido pelas horas úteis</t>
        </r>
      </text>
    </comment>
    <comment ref="D7" authorId="2" shapeId="0" xr:uid="{00000000-0006-0000-0300-000006000000}">
      <text>
        <r>
          <rPr>
            <b/>
            <sz val="9"/>
            <color indexed="81"/>
            <rFont val="Segoe UI"/>
            <family val="2"/>
          </rPr>
          <t>Ivanildes:</t>
        </r>
        <r>
          <rPr>
            <sz val="9"/>
            <color indexed="81"/>
            <rFont val="Segoe UI"/>
            <family val="2"/>
          </rPr>
          <t xml:space="preserve">
5 anos
24 horas por dia
1 dias por semana
52 semanas por ano</t>
        </r>
      </text>
    </comment>
    <comment ref="D8" authorId="2" shapeId="0" xr:uid="{00000000-0006-0000-0300-000007000000}">
      <text>
        <r>
          <rPr>
            <b/>
            <sz val="9"/>
            <color indexed="81"/>
            <rFont val="Segoe UI"/>
            <family val="2"/>
          </rPr>
          <t>Ivanildes:</t>
        </r>
        <r>
          <rPr>
            <sz val="9"/>
            <color indexed="81"/>
            <rFont val="Segoe UI"/>
            <family val="2"/>
          </rPr>
          <t xml:space="preserve">
5 anos
24 horas por dia
3 dias por semana
52 semanas por ano</t>
        </r>
      </text>
    </comment>
    <comment ref="G15" authorId="1" shapeId="0" xr:uid="{5C4B786B-5064-45DE-B30D-EDF09681EDC7}">
      <text>
        <r>
          <rPr>
            <b/>
            <sz val="9"/>
            <color indexed="81"/>
            <rFont val="Segoe UI"/>
            <family val="2"/>
          </rPr>
          <t>Daniel Eloi Pris:</t>
        </r>
        <r>
          <rPr>
            <sz val="9"/>
            <color indexed="81"/>
            <rFont val="Segoe UI"/>
            <family val="2"/>
          </rPr>
          <t xml:space="preserve">
Contrato de manutenção preventiva anual de R$40k/ano divido pelas horas úteis do ano.
Inclui 2 visitas de manutenção preventiva e 1 corretiva sob demanda</t>
        </r>
      </text>
    </comment>
  </commentList>
</comments>
</file>

<file path=xl/sharedStrings.xml><?xml version="1.0" encoding="utf-8"?>
<sst xmlns="http://schemas.openxmlformats.org/spreadsheetml/2006/main" count="296" uniqueCount="154">
  <si>
    <t>Nome Benchmark</t>
  </si>
  <si>
    <t>Valor por Unidade</t>
  </si>
  <si>
    <t>Cargo Classe</t>
  </si>
  <si>
    <t>Custo médio/semana</t>
  </si>
  <si>
    <t>Custo médio/mês</t>
  </si>
  <si>
    <t>Consultor</t>
  </si>
  <si>
    <t>Equipe - bolsista</t>
  </si>
  <si>
    <t>Equipe - apoio técnico</t>
  </si>
  <si>
    <t>Equipe - servidor</t>
  </si>
  <si>
    <t>RT - bolsista</t>
  </si>
  <si>
    <t>Equipe - pós doc</t>
  </si>
  <si>
    <t>Quantidade mínima para realização do serviço</t>
  </si>
  <si>
    <t>Unidade utilizada para venda:</t>
  </si>
  <si>
    <t>Quantidade de horas dedicadas</t>
  </si>
  <si>
    <t>Material de consumo</t>
  </si>
  <si>
    <t>Número de unidades utilizadas</t>
  </si>
  <si>
    <t>Equipamentos</t>
  </si>
  <si>
    <t>Mão de obra</t>
  </si>
  <si>
    <t>Outros custos</t>
  </si>
  <si>
    <t>Valor de Reposição (reais)</t>
  </si>
  <si>
    <t>Custo da mão de obra/hora (R$)</t>
  </si>
  <si>
    <t>Custo associado (R$)</t>
  </si>
  <si>
    <t>Valor por unidade (R$)</t>
  </si>
  <si>
    <t>Obs.: Os custos devem ser considerados para a produção da quantidade mínima para realização do serviço</t>
  </si>
  <si>
    <t>Valores cobrados pela Fiocruz</t>
  </si>
  <si>
    <t>Nome</t>
  </si>
  <si>
    <t>Valor cobrado</t>
  </si>
  <si>
    <t>Diferencial</t>
  </si>
  <si>
    <t>Custo por ampola</t>
  </si>
  <si>
    <t>Referência serviço fiocruz</t>
  </si>
  <si>
    <t>Valores cobrados pelos benchmarks</t>
  </si>
  <si>
    <t/>
  </si>
  <si>
    <t>Produto/serviço</t>
  </si>
  <si>
    <t>Obs.: Selecione os grupos de custos que se aplicam para cada serviço</t>
  </si>
  <si>
    <t>Especifique</t>
  </si>
  <si>
    <t>Qual o direcionador?</t>
  </si>
  <si>
    <t>Serviços de terceiros</t>
  </si>
  <si>
    <t>Custos de infraestrutura (água, refrigeração, etc)</t>
  </si>
  <si>
    <t>Sim</t>
  </si>
  <si>
    <t>Não</t>
  </si>
  <si>
    <t>Custos por serviço</t>
  </si>
  <si>
    <t>Valor de Referência</t>
  </si>
  <si>
    <t>Plataforma</t>
  </si>
  <si>
    <t>GENOMICA</t>
  </si>
  <si>
    <t>NGS</t>
  </si>
  <si>
    <t>Precificação e custeio</t>
  </si>
  <si>
    <t>Benchmark de preço</t>
  </si>
  <si>
    <t>Custeio</t>
  </si>
  <si>
    <t>Precificação</t>
  </si>
  <si>
    <t>Unidade</t>
  </si>
  <si>
    <t>Serviço de prateleira ou Consultoria?</t>
  </si>
  <si>
    <t>Prateleira</t>
  </si>
  <si>
    <t>MICROSCOPIA ELETRÔNICA</t>
  </si>
  <si>
    <t xml:space="preserve">PCR EM TEMPO REAL </t>
  </si>
  <si>
    <t>CITOMETRIA</t>
  </si>
  <si>
    <t>BIOINFORMÁTICA</t>
  </si>
  <si>
    <t>BIOPROSPECÇÃO</t>
  </si>
  <si>
    <t>Preço médio kW por hora</t>
  </si>
  <si>
    <t>Equipamento</t>
  </si>
  <si>
    <t>Custo de manutenção por hora de utilização</t>
  </si>
  <si>
    <t>Cliente Interno</t>
  </si>
  <si>
    <t>Cliente externo - Empresa</t>
  </si>
  <si>
    <t>Outros</t>
  </si>
  <si>
    <t>Custo para o cliente</t>
  </si>
  <si>
    <t>Custo final para o cliente</t>
  </si>
  <si>
    <t>Tipo de cliente</t>
  </si>
  <si>
    <t>Preço de referência (benchmark baseado no mercado)</t>
  </si>
  <si>
    <t>Margem de lucro desejada na precificação "custo + margem")</t>
  </si>
  <si>
    <t>Preço calculado pela abordagem "custo + margem"</t>
  </si>
  <si>
    <t>Tipo de precificação utilizada</t>
  </si>
  <si>
    <t>Preço Final Aplicado por Segmento</t>
  </si>
  <si>
    <t>Referência de Mercado</t>
  </si>
  <si>
    <t>Custo + Margem</t>
  </si>
  <si>
    <t>Lista de Plataformas</t>
  </si>
  <si>
    <t>Preço por posicionamento</t>
  </si>
  <si>
    <t>Cliente externo - Instituição Pública</t>
  </si>
  <si>
    <t>Tempo de Reposição 
(horas úteis)</t>
  </si>
  <si>
    <t>Infraestrutura (Despesas Condominiais)</t>
  </si>
  <si>
    <t>Equipe - servidor (técnico)</t>
  </si>
  <si>
    <t>Quantidade de horas utilizadas por amostra</t>
  </si>
  <si>
    <t>Número de unidades utilizadas por serviço</t>
  </si>
  <si>
    <t>% overhead considerada para o cliente</t>
  </si>
  <si>
    <t>Despesa de Overhead para o cliente</t>
  </si>
  <si>
    <t>Tempo de reposição é fixo ou variável de acordo com o uso do equipamento?</t>
  </si>
  <si>
    <t>Custo médio/hora total</t>
  </si>
  <si>
    <t>Custo médio/hora marginal</t>
  </si>
  <si>
    <t>Custo total do equipamento/hora (R$)</t>
  </si>
  <si>
    <t>Custo marginal associado (R$)</t>
  </si>
  <si>
    <t>% overhead considerada para o cliente sobre o preço final</t>
  </si>
  <si>
    <t>Custo evitável caso o serviço não seja realizado (Custo Variável)?</t>
  </si>
  <si>
    <t>Variável</t>
  </si>
  <si>
    <t>Margem considerando precificação pelo mercado (em relação à receita)</t>
  </si>
  <si>
    <t>Custo médio/dia útil</t>
  </si>
  <si>
    <t>Custo médio/hora útil</t>
  </si>
  <si>
    <t>Consumo de energia/h (Kw h)</t>
  </si>
  <si>
    <t>ILMD</t>
  </si>
  <si>
    <t>sim</t>
  </si>
  <si>
    <t xml:space="preserve">Bolsista mestre </t>
  </si>
  <si>
    <t>horas/mulher</t>
  </si>
  <si>
    <t>não</t>
  </si>
  <si>
    <t xml:space="preserve">horas de uso </t>
  </si>
  <si>
    <t xml:space="preserve">Antibiograma, Concentração inibitória mínima, Atividade bactericida e bacteriostatico, Viabilidade e citotoxicidade celular, Atividade Antiplasmodial </t>
  </si>
  <si>
    <t xml:space="preserve">Não </t>
  </si>
  <si>
    <t>[RPT11H] BIOENSAIO BIOTECNOLOGICO-AM</t>
  </si>
  <si>
    <t>Plataforma: BIOENSAIO BIOTECNOLOGICO-AM</t>
  </si>
  <si>
    <t xml:space="preserve">Serviço: Concentração Inibitoria Minima </t>
  </si>
  <si>
    <t>Amostras/placa de 96 poços</t>
  </si>
  <si>
    <t>Determina qual a concetração mínima que uma substância é capazde inibir um microorganismo</t>
  </si>
  <si>
    <t>NÃO ENCONTRADO</t>
  </si>
  <si>
    <t>Unidade usadas</t>
  </si>
  <si>
    <t xml:space="preserve">1. Álcool à 70%;
2. Bailarina
3. Bicarbonato de sódio
4. Caneta para Retroprojetor;
5. Criotubos de 1,5 mL e 2,0 mL;
6. Dimetilsulfóxido;
7. Eppendorfs 2 mL, 1,5 mL e 0.6 µL
8. Erlenmeyer 
9. Filtro descartável
10. Garrafa de cultivo 25 cm²
11. Gentamicina
12. Meio de cultura RPMI
13. Multicanal de 5µL a 1000µL
14. NaCl 1,6% estéril
15. NaCl 12% estéril
16. Papel toalha
17. Pipeta 0.5 µL a 1000 µL
18. Pipetador automático ou manual;
19. Placas de microdiluição de 96 orifícios;
20. Plasma
21. Ponteiras estéreis de 10 µL, 200µL e 1000µL;
22. Proveta
23. Quinino
24. Rack para tubo falcon
25. Tubo falcon de 15µL a 50µL
26. Tubos criogênico 2,0 mL
</t>
  </si>
  <si>
    <t>1. Balança analítica</t>
  </si>
  <si>
    <t>2. Banho Maria</t>
  </si>
  <si>
    <t xml:space="preserve">3. Cabine de fluxo laminar vertical; </t>
  </si>
  <si>
    <t>4. Centrifuga refrigerada (BECKMAN COULTER-Allegra x-30R)</t>
  </si>
  <si>
    <t>5. Citômetro de fluxo, FACSCanto II (BD)</t>
  </si>
  <si>
    <t xml:space="preserve">6. Dissecador </t>
  </si>
  <si>
    <t>7. Estufa BOD (ELETROlab)</t>
  </si>
  <si>
    <t>8. Freezer -20ºC</t>
  </si>
  <si>
    <t>9. Freezer -80</t>
  </si>
  <si>
    <t>10. LAVADORA MICROPLACAS</t>
  </si>
  <si>
    <t>11. Microscópio binocular</t>
  </si>
  <si>
    <t>12. Refrigerador</t>
  </si>
  <si>
    <t>1. Álcool à 70%;</t>
  </si>
  <si>
    <t>2. Bailarina</t>
  </si>
  <si>
    <t>3. Bicarbonato de sódio</t>
  </si>
  <si>
    <t>4. Caneta para Retroprojetor;</t>
  </si>
  <si>
    <t>5. Criotubos de 1,5 mL e 2,0 mL;</t>
  </si>
  <si>
    <t>6. Dimetilsulfóxido;</t>
  </si>
  <si>
    <t>7. Eppendorfs 2 mL, 1,5 mL e 0.6 µL</t>
  </si>
  <si>
    <t xml:space="preserve">8. Erlenmeyer </t>
  </si>
  <si>
    <t>10. Garrafa de cultivo 25 cm²</t>
  </si>
  <si>
    <t>11. Gentamicina</t>
  </si>
  <si>
    <t>12. Meio de cultura RPMI</t>
  </si>
  <si>
    <t>13. Multicanal de 5µL a 1000µL</t>
  </si>
  <si>
    <t>14. NaCl 1,6% estéril</t>
  </si>
  <si>
    <t>15. NaCl 12% estéril</t>
  </si>
  <si>
    <t>16. Papel toalha</t>
  </si>
  <si>
    <t>17. Pipeta 0.5 µL a 1000 µL</t>
  </si>
  <si>
    <t>18. Pipetador automático ou manual;</t>
  </si>
  <si>
    <t>19. Placas de microdiluição de 96 orifícios;</t>
  </si>
  <si>
    <t>20. Plasma</t>
  </si>
  <si>
    <t>21. Ponteiras estéreis de 10 µL, 200µL e 1000µL;</t>
  </si>
  <si>
    <t>22. Proveta</t>
  </si>
  <si>
    <t>23. Quinino</t>
  </si>
  <si>
    <t>24. Rack para tubo falcon</t>
  </si>
  <si>
    <t>25. Tubo falcon de 15µL a 50µL</t>
  </si>
  <si>
    <t>26. Tubos criogênico 2,0 mL</t>
  </si>
  <si>
    <t xml:space="preserve">10. Lavadora microplacas </t>
  </si>
  <si>
    <t>5. Citômetro de fluxo (FACSCanto II (BD)</t>
  </si>
  <si>
    <t xml:space="preserve">9. Filtro de seringa descartável </t>
  </si>
  <si>
    <t>6. Dissecador de vidro</t>
  </si>
  <si>
    <t>13. vortex</t>
  </si>
  <si>
    <t xml:space="preserve">1. Balança analítica
2. Banho Maria
3. Cabine de fluxo laminar vertical; 
4. Centrifuga refrigerada (BECKMAN COULTER-Allegra x-30R)
5. Citômetro de fluxo, FACSCanto II (BD)
6. Dissecador 
7. Estufa BOD (ELETROlab)
8. Freezer -20ºC
9. Freezer -80
10. LAVADORA MICROPLACAS
11. Microscópio binocular
12. Refrigerador
13. vortex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</si>
</sst>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* #,##0.00_-;\-&quot;R$&quot;* #,##0.00_-;_-&quot;R$&quot;* &quot;-&quot;??_-;_-@_-"/>
    <numFmt numFmtId="165" formatCode="&quot;R$&quot;\ #,##0.00"/>
    <numFmt numFmtId="166" formatCode="#,##0.00_ ;\-#,##0.00\ "/>
    <numFmt numFmtId="167" formatCode="0.0000000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i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Down">
        <bgColor theme="2" tint="-0.499984740745262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14">
    <xf numFmtId="0" fontId="0" fillId="0" borderId="0" xfId="0"/>
    <xf numFmtId="0" fontId="2" fillId="3" borderId="3" xfId="0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0" fontId="0" fillId="4" borderId="0" xfId="0" applyFill="1"/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4" borderId="0" xfId="0" applyFont="1" applyFill="1"/>
    <xf numFmtId="4" fontId="3" fillId="4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7" fillId="0" borderId="0" xfId="0" applyFont="1"/>
    <xf numFmtId="0" fontId="2" fillId="3" borderId="3" xfId="0" applyFont="1" applyFill="1" applyBorder="1" applyAlignment="1">
      <alignment horizontal="center" wrapText="1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0" fillId="6" borderId="22" xfId="0" applyFill="1" applyBorder="1" applyAlignment="1" applyProtection="1">
      <alignment horizontal="center"/>
      <protection locked="0"/>
    </xf>
    <xf numFmtId="0" fontId="0" fillId="6" borderId="23" xfId="0" applyFill="1" applyBorder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0" fillId="4" borderId="6" xfId="0" applyFill="1" applyBorder="1" applyProtection="1">
      <protection locked="0"/>
    </xf>
    <xf numFmtId="0" fontId="9" fillId="4" borderId="6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left" vertical="center" readingOrder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 wrapText="1"/>
      <protection locked="0"/>
    </xf>
    <xf numFmtId="0" fontId="8" fillId="4" borderId="6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2" fillId="7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4" borderId="0" xfId="0" applyFont="1" applyFill="1" applyAlignment="1" applyProtection="1">
      <alignment horizontal="center"/>
      <protection locked="0"/>
    </xf>
    <xf numFmtId="0" fontId="0" fillId="9" borderId="0" xfId="0" applyFill="1" applyProtection="1">
      <protection locked="0"/>
    </xf>
    <xf numFmtId="0" fontId="2" fillId="0" borderId="0" xfId="0" applyFont="1"/>
    <xf numFmtId="0" fontId="7" fillId="6" borderId="12" xfId="0" applyFont="1" applyFill="1" applyBorder="1" applyAlignment="1" applyProtection="1">
      <alignment horizontal="center"/>
      <protection locked="0"/>
    </xf>
    <xf numFmtId="0" fontId="7" fillId="6" borderId="10" xfId="0" applyFont="1" applyFill="1" applyBorder="1" applyAlignment="1" applyProtection="1">
      <alignment horizontal="center"/>
      <protection locked="0"/>
    </xf>
    <xf numFmtId="0" fontId="11" fillId="6" borderId="11" xfId="0" applyFont="1" applyFill="1" applyBorder="1" applyAlignment="1" applyProtection="1">
      <alignment horizontal="center" wrapText="1"/>
      <protection locked="0"/>
    </xf>
    <xf numFmtId="9" fontId="0" fillId="6" borderId="25" xfId="2" applyFont="1" applyFill="1" applyBorder="1" applyAlignment="1" applyProtection="1">
      <alignment horizontal="center" wrapText="1"/>
      <protection locked="0"/>
    </xf>
    <xf numFmtId="9" fontId="0" fillId="6" borderId="26" xfId="2" applyFont="1" applyFill="1" applyBorder="1" applyAlignment="1" applyProtection="1">
      <alignment horizontal="center"/>
      <protection locked="0"/>
    </xf>
    <xf numFmtId="9" fontId="0" fillId="6" borderId="28" xfId="2" applyFont="1" applyFill="1" applyBorder="1" applyAlignment="1" applyProtection="1">
      <alignment horizontal="center" vertical="center"/>
      <protection locked="0"/>
    </xf>
    <xf numFmtId="2" fontId="0" fillId="6" borderId="28" xfId="2" applyNumberFormat="1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0" fillId="6" borderId="18" xfId="0" applyFill="1" applyBorder="1" applyProtection="1">
      <protection locked="0"/>
    </xf>
    <xf numFmtId="0" fontId="0" fillId="6" borderId="20" xfId="0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24" xfId="0" applyFill="1" applyBorder="1" applyProtection="1">
      <protection locked="0"/>
    </xf>
    <xf numFmtId="0" fontId="0" fillId="6" borderId="14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21" xfId="0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2" fillId="8" borderId="0" xfId="0" applyFont="1" applyFill="1" applyProtection="1">
      <protection locked="0"/>
    </xf>
    <xf numFmtId="0" fontId="0" fillId="0" borderId="0" xfId="0" applyProtection="1">
      <protection locked="0"/>
    </xf>
    <xf numFmtId="0" fontId="2" fillId="3" borderId="3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3" fillId="9" borderId="0" xfId="0" applyFont="1" applyFill="1" applyAlignment="1" applyProtection="1">
      <alignment vertical="center"/>
      <protection locked="0"/>
    </xf>
    <xf numFmtId="0" fontId="5" fillId="4" borderId="0" xfId="0" applyFont="1" applyFill="1" applyAlignment="1" applyProtection="1">
      <alignment horizontal="left" vertical="center" readingOrder="1"/>
      <protection locked="0"/>
    </xf>
    <xf numFmtId="0" fontId="1" fillId="4" borderId="0" xfId="0" applyFont="1" applyFill="1" applyAlignment="1" applyProtection="1">
      <alignment horizontal="center"/>
      <protection locked="0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164" fontId="7" fillId="2" borderId="3" xfId="1" applyFont="1" applyFill="1" applyBorder="1" applyAlignment="1" applyProtection="1">
      <alignment horizontal="center"/>
      <protection locked="0"/>
    </xf>
    <xf numFmtId="165" fontId="0" fillId="4" borderId="0" xfId="0" applyNumberFormat="1" applyFill="1" applyAlignment="1" applyProtection="1">
      <alignment horizontal="center"/>
      <protection locked="0"/>
    </xf>
    <xf numFmtId="0" fontId="13" fillId="10" borderId="0" xfId="0" applyFont="1" applyFill="1" applyAlignment="1" applyProtection="1">
      <alignment horizontal="left" vertical="center"/>
      <protection locked="0"/>
    </xf>
    <xf numFmtId="0" fontId="0" fillId="10" borderId="0" xfId="0" applyFill="1" applyProtection="1">
      <protection locked="0"/>
    </xf>
    <xf numFmtId="0" fontId="7" fillId="0" borderId="0" xfId="0" applyFont="1" applyProtection="1">
      <protection locked="0"/>
    </xf>
    <xf numFmtId="0" fontId="7" fillId="11" borderId="3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Alignment="1" applyProtection="1">
      <alignment horizontal="center" vertical="center" wrapText="1"/>
      <protection locked="0"/>
    </xf>
    <xf numFmtId="166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4" fontId="0" fillId="2" borderId="3" xfId="0" applyNumberFormat="1" applyFill="1" applyBorder="1" applyAlignment="1" applyProtection="1">
      <alignment horizontal="center"/>
      <protection locked="0"/>
    </xf>
    <xf numFmtId="4" fontId="0" fillId="2" borderId="5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 vertical="center"/>
      <protection locked="0"/>
    </xf>
    <xf numFmtId="4" fontId="0" fillId="2" borderId="7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 vertical="center"/>
      <protection locked="0"/>
    </xf>
    <xf numFmtId="0" fontId="0" fillId="6" borderId="29" xfId="0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13" fillId="12" borderId="0" xfId="0" applyFont="1" applyFill="1" applyAlignment="1" applyProtection="1">
      <alignment horizontal="left" vertical="center"/>
      <protection locked="0"/>
    </xf>
    <xf numFmtId="0" fontId="0" fillId="12" borderId="0" xfId="0" applyFill="1" applyProtection="1">
      <protection locked="0"/>
    </xf>
    <xf numFmtId="164" fontId="0" fillId="2" borderId="3" xfId="1" applyFont="1" applyFill="1" applyBorder="1" applyAlignment="1" applyProtection="1">
      <alignment horizontal="center"/>
      <protection locked="0"/>
    </xf>
    <xf numFmtId="0" fontId="14" fillId="0" borderId="27" xfId="0" applyFont="1" applyBorder="1" applyProtection="1">
      <protection locked="0"/>
    </xf>
    <xf numFmtId="9" fontId="0" fillId="2" borderId="3" xfId="2" applyFont="1" applyFill="1" applyBorder="1" applyAlignment="1" applyProtection="1">
      <alignment horizontal="center"/>
      <protection locked="0"/>
    </xf>
    <xf numFmtId="0" fontId="0" fillId="0" borderId="27" xfId="0" applyBorder="1" applyProtection="1">
      <protection locked="0"/>
    </xf>
    <xf numFmtId="0" fontId="0" fillId="13" borderId="13" xfId="0" applyFill="1" applyBorder="1" applyAlignment="1">
      <alignment horizontal="center"/>
    </xf>
    <xf numFmtId="4" fontId="7" fillId="2" borderId="5" xfId="0" applyNumberFormat="1" applyFont="1" applyFill="1" applyBorder="1" applyAlignment="1" applyProtection="1">
      <alignment horizontal="center"/>
      <protection locked="0"/>
    </xf>
    <xf numFmtId="166" fontId="7" fillId="2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3" xfId="0" applyFont="1" applyFill="1" applyBorder="1"/>
    <xf numFmtId="4" fontId="3" fillId="6" borderId="3" xfId="0" applyNumberFormat="1" applyFont="1" applyFill="1" applyBorder="1" applyAlignment="1">
      <alignment horizontal="center"/>
    </xf>
    <xf numFmtId="4" fontId="3" fillId="6" borderId="3" xfId="0" applyNumberFormat="1" applyFont="1" applyFill="1" applyBorder="1" applyAlignment="1">
      <alignment horizontal="left"/>
    </xf>
    <xf numFmtId="4" fontId="3" fillId="6" borderId="3" xfId="0" applyNumberFormat="1" applyFont="1" applyFill="1" applyBorder="1" applyAlignment="1">
      <alignment horizontal="left" vertical="top"/>
    </xf>
    <xf numFmtId="4" fontId="3" fillId="6" borderId="3" xfId="0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4" fontId="3" fillId="4" borderId="0" xfId="0" applyNumberFormat="1" applyFont="1" applyFill="1" applyBorder="1" applyAlignment="1">
      <alignment horizontal="left" vertical="top"/>
    </xf>
    <xf numFmtId="0" fontId="7" fillId="6" borderId="12" xfId="0" applyFont="1" applyFill="1" applyBorder="1" applyAlignment="1" applyProtection="1">
      <alignment horizontal="center" vertical="top" wrapText="1"/>
      <protection locked="0"/>
    </xf>
    <xf numFmtId="0" fontId="7" fillId="6" borderId="10" xfId="0" applyFont="1" applyFill="1" applyBorder="1" applyAlignment="1" applyProtection="1">
      <alignment horizontal="center" vertical="top"/>
      <protection locked="0"/>
    </xf>
    <xf numFmtId="0" fontId="11" fillId="6" borderId="11" xfId="0" applyFont="1" applyFill="1" applyBorder="1" applyAlignment="1" applyProtection="1">
      <alignment horizontal="center" vertical="top" wrapText="1"/>
      <protection locked="0"/>
    </xf>
    <xf numFmtId="2" fontId="7" fillId="6" borderId="10" xfId="0" applyNumberFormat="1" applyFont="1" applyFill="1" applyBorder="1" applyAlignment="1" applyProtection="1">
      <alignment horizontal="center" vertical="top"/>
      <protection locked="0"/>
    </xf>
    <xf numFmtId="0" fontId="0" fillId="4" borderId="0" xfId="0" applyFill="1" applyAlignment="1" applyProtection="1">
      <alignment vertical="top"/>
      <protection locked="0"/>
    </xf>
    <xf numFmtId="0" fontId="1" fillId="4" borderId="0" xfId="0" applyFont="1" applyFill="1" applyAlignment="1" applyProtection="1">
      <alignment horizontal="center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6" borderId="21" xfId="0" applyFont="1" applyFill="1" applyBorder="1" applyProtection="1">
      <protection locked="0"/>
    </xf>
    <xf numFmtId="0" fontId="3" fillId="6" borderId="3" xfId="0" applyFont="1" applyFill="1" applyBorder="1"/>
    <xf numFmtId="2" fontId="0" fillId="6" borderId="15" xfId="0" applyNumberFormat="1" applyFill="1" applyBorder="1" applyAlignment="1" applyProtection="1">
      <alignment horizontal="center"/>
      <protection locked="0"/>
    </xf>
    <xf numFmtId="167" fontId="0" fillId="6" borderId="15" xfId="0" applyNumberFormat="1" applyFill="1" applyBorder="1" applyAlignment="1" applyProtection="1">
      <alignment horizontal="center"/>
      <protection locked="0"/>
    </xf>
    <xf numFmtId="0" fontId="0" fillId="6" borderId="30" xfId="0" applyFill="1" applyBorder="1" applyAlignment="1" applyProtection="1">
      <alignment horizontal="center"/>
      <protection locked="0"/>
    </xf>
    <xf numFmtId="0" fontId="0" fillId="6" borderId="31" xfId="0" applyFill="1" applyBorder="1" applyProtection="1">
      <protection locked="0"/>
    </xf>
    <xf numFmtId="0" fontId="0" fillId="6" borderId="3" xfId="0" applyFont="1" applyFill="1" applyBorder="1" applyProtection="1">
      <protection locked="0"/>
    </xf>
    <xf numFmtId="4" fontId="3" fillId="6" borderId="3" xfId="0" applyNumberFormat="1" applyFont="1" applyFill="1" applyBorder="1" applyAlignment="1">
      <alignment horizontal="left" vertical="top" wrapText="1"/>
    </xf>
    <xf numFmtId="0" fontId="0" fillId="6" borderId="3" xfId="0" applyFill="1" applyBorder="1" applyAlignment="1" applyProtection="1">
      <alignment horizontal="center"/>
      <protection locked="0"/>
    </xf>
    <xf numFmtId="3" fontId="0" fillId="6" borderId="13" xfId="0" applyNumberFormat="1" applyFill="1" applyBorder="1" applyAlignment="1" applyProtection="1">
      <alignment horizontal="center"/>
      <protection locked="0"/>
    </xf>
    <xf numFmtId="0" fontId="2" fillId="8" borderId="0" xfId="0" applyFont="1" applyFill="1" applyAlignment="1">
      <alignment horizontal="left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4" borderId="0" xfId="0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133350</xdr:rowOff>
    </xdr:from>
    <xdr:to>
      <xdr:col>0</xdr:col>
      <xdr:colOff>1100136</xdr:colOff>
      <xdr:row>4</xdr:row>
      <xdr:rowOff>112319</xdr:rowOff>
    </xdr:to>
    <xdr:pic>
      <xdr:nvPicPr>
        <xdr:cNvPr id="2" name="Imagem 1" descr="Resultado de imagem para fiocruz">
          <a:extLst>
            <a:ext uri="{FF2B5EF4-FFF2-40B4-BE49-F238E27FC236}">
              <a16:creationId xmlns:a16="http://schemas.microsoft.com/office/drawing/2014/main" id="{19357016-DF7B-4798-8B98-0185E02B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133350"/>
          <a:ext cx="838200" cy="740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133350</xdr:rowOff>
    </xdr:from>
    <xdr:to>
      <xdr:col>0</xdr:col>
      <xdr:colOff>1098551</xdr:colOff>
      <xdr:row>3</xdr:row>
      <xdr:rowOff>112319</xdr:rowOff>
    </xdr:to>
    <xdr:pic>
      <xdr:nvPicPr>
        <xdr:cNvPr id="2" name="Imagem 1" descr="Resultado de imagem para fiocruz">
          <a:extLst>
            <a:ext uri="{FF2B5EF4-FFF2-40B4-BE49-F238E27FC236}">
              <a16:creationId xmlns:a16="http://schemas.microsoft.com/office/drawing/2014/main" id="{11BA3C70-5F02-413E-A83C-34E57640F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133350"/>
          <a:ext cx="838200" cy="740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228601</xdr:colOff>
      <xdr:row>0</xdr:row>
      <xdr:rowOff>95250</xdr:rowOff>
    </xdr:from>
    <xdr:to>
      <xdr:col>0</xdr:col>
      <xdr:colOff>1066801</xdr:colOff>
      <xdr:row>4</xdr:row>
      <xdr:rowOff>17069</xdr:rowOff>
    </xdr:to>
    <xdr:pic>
      <xdr:nvPicPr>
        <xdr:cNvPr id="3" name="Imagem 2" descr="Resultado de imagem para fiocruz">
          <a:extLst>
            <a:ext uri="{FF2B5EF4-FFF2-40B4-BE49-F238E27FC236}">
              <a16:creationId xmlns:a16="http://schemas.microsoft.com/office/drawing/2014/main" id="{F13640B1-7B26-4B26-A5AC-DC3443BC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95250"/>
          <a:ext cx="838200" cy="740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"/>
  <sheetViews>
    <sheetView showGridLines="0" topLeftCell="F3" zoomScale="80" zoomScaleNormal="80" workbookViewId="0">
      <selection activeCell="I5" sqref="I5"/>
    </sheetView>
  </sheetViews>
  <sheetFormatPr defaultRowHeight="15" x14ac:dyDescent="0.25"/>
  <cols>
    <col min="1" max="1" width="20" style="17" customWidth="1"/>
    <col min="2" max="2" width="43.28515625" style="17" bestFit="1" customWidth="1"/>
    <col min="3" max="3" width="133.140625" style="17" bestFit="1" customWidth="1"/>
    <col min="4" max="4" width="31.28515625" style="17" customWidth="1"/>
    <col min="5" max="5" width="20.7109375" customWidth="1"/>
    <col min="6" max="7" width="30.7109375" customWidth="1"/>
    <col min="8" max="8" width="20.7109375" customWidth="1"/>
    <col min="9" max="9" width="36.5703125" customWidth="1"/>
    <col min="10" max="10" width="30.7109375" customWidth="1"/>
    <col min="11" max="11" width="20.7109375" customWidth="1"/>
    <col min="12" max="12" width="42.7109375" customWidth="1"/>
    <col min="13" max="13" width="30.7109375" customWidth="1"/>
    <col min="14" max="14" width="20.7109375" customWidth="1"/>
    <col min="15" max="16" width="30.7109375" customWidth="1"/>
    <col min="17" max="17" width="20.7109375" customWidth="1"/>
    <col min="18" max="19" width="30.7109375" customWidth="1"/>
    <col min="20" max="20" width="20.7109375" customWidth="1"/>
    <col min="21" max="22" width="30.7109375" customWidth="1"/>
    <col min="23" max="23" width="40.7109375" customWidth="1"/>
  </cols>
  <sheetData>
    <row r="1" spans="1:22" s="34" customFormat="1" ht="17.25" customHeight="1" x14ac:dyDescent="0.2">
      <c r="A1" s="111" t="s">
        <v>40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</row>
    <row r="2" spans="1:22" ht="24" customHeight="1" x14ac:dyDescent="0.25">
      <c r="A2"/>
      <c r="B2"/>
      <c r="C2"/>
      <c r="D2"/>
    </row>
    <row r="3" spans="1:22" ht="21" customHeight="1" x14ac:dyDescent="0.25">
      <c r="A3" s="29" t="s">
        <v>33</v>
      </c>
      <c r="B3" s="29"/>
      <c r="C3" s="29"/>
      <c r="D3" s="29"/>
    </row>
    <row r="4" spans="1:22" s="31" customFormat="1" ht="36.75" customHeight="1" x14ac:dyDescent="0.25">
      <c r="A4" s="18" t="s">
        <v>49</v>
      </c>
      <c r="B4" s="18" t="s">
        <v>42</v>
      </c>
      <c r="C4" s="18" t="s">
        <v>32</v>
      </c>
      <c r="D4" s="18" t="s">
        <v>50</v>
      </c>
      <c r="E4" s="30" t="s">
        <v>17</v>
      </c>
      <c r="F4" s="18" t="s">
        <v>34</v>
      </c>
      <c r="G4" s="18" t="s">
        <v>35</v>
      </c>
      <c r="H4" s="30" t="s">
        <v>16</v>
      </c>
      <c r="I4" s="18" t="s">
        <v>34</v>
      </c>
      <c r="J4" s="18" t="s">
        <v>35</v>
      </c>
      <c r="K4" s="30" t="s">
        <v>14</v>
      </c>
      <c r="L4" s="18" t="s">
        <v>34</v>
      </c>
      <c r="M4" s="18" t="s">
        <v>35</v>
      </c>
      <c r="N4" s="30" t="s">
        <v>37</v>
      </c>
      <c r="O4" s="18" t="s">
        <v>34</v>
      </c>
      <c r="P4" s="18" t="s">
        <v>35</v>
      </c>
      <c r="Q4" s="30" t="s">
        <v>36</v>
      </c>
      <c r="R4" s="18" t="s">
        <v>34</v>
      </c>
      <c r="S4" s="18" t="s">
        <v>35</v>
      </c>
      <c r="T4" s="30" t="s">
        <v>18</v>
      </c>
      <c r="U4" s="18" t="s">
        <v>34</v>
      </c>
      <c r="V4" s="18" t="s">
        <v>35</v>
      </c>
    </row>
    <row r="5" spans="1:22" s="92" customFormat="1" ht="369.75" x14ac:dyDescent="0.25">
      <c r="A5" s="90" t="s">
        <v>95</v>
      </c>
      <c r="B5" s="90" t="s">
        <v>103</v>
      </c>
      <c r="C5" s="90" t="s">
        <v>101</v>
      </c>
      <c r="D5" s="90" t="s">
        <v>51</v>
      </c>
      <c r="E5" s="91" t="s">
        <v>96</v>
      </c>
      <c r="F5" s="91" t="s">
        <v>97</v>
      </c>
      <c r="G5" s="91" t="s">
        <v>98</v>
      </c>
      <c r="H5" s="91" t="s">
        <v>96</v>
      </c>
      <c r="I5" s="108" t="s">
        <v>153</v>
      </c>
      <c r="J5" s="91" t="s">
        <v>100</v>
      </c>
      <c r="K5" s="91" t="s">
        <v>96</v>
      </c>
      <c r="L5" s="108" t="s">
        <v>110</v>
      </c>
      <c r="M5" s="91" t="s">
        <v>109</v>
      </c>
      <c r="N5" s="91" t="s">
        <v>99</v>
      </c>
      <c r="O5" s="91"/>
      <c r="P5" s="91" t="s">
        <v>99</v>
      </c>
      <c r="Q5" s="91" t="s">
        <v>99</v>
      </c>
      <c r="R5" s="91" t="s">
        <v>99</v>
      </c>
      <c r="S5" s="91" t="s">
        <v>99</v>
      </c>
      <c r="T5" s="91" t="s">
        <v>99</v>
      </c>
      <c r="U5" s="91"/>
      <c r="V5" s="91"/>
    </row>
    <row r="6" spans="1:22" x14ac:dyDescent="0.25">
      <c r="A6" s="89"/>
      <c r="B6" s="89"/>
      <c r="C6" s="89"/>
      <c r="D6" s="89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</row>
    <row r="7" spans="1:22" x14ac:dyDescent="0.25">
      <c r="A7" s="89"/>
      <c r="B7" s="89"/>
      <c r="C7" s="89"/>
      <c r="D7" s="89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</row>
    <row r="8" spans="1:22" x14ac:dyDescent="0.25">
      <c r="A8" s="89"/>
      <c r="B8" s="89"/>
      <c r="C8" s="89"/>
      <c r="D8" s="89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</row>
    <row r="9" spans="1:22" x14ac:dyDescent="0.25">
      <c r="A9" s="89"/>
      <c r="B9" s="89"/>
      <c r="C9" s="89"/>
      <c r="D9" s="89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</row>
    <row r="10" spans="1:22" x14ac:dyDescent="0.25">
      <c r="A10" s="89"/>
      <c r="B10" s="89"/>
      <c r="C10" s="89"/>
      <c r="D10" s="89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</row>
    <row r="11" spans="1:22" x14ac:dyDescent="0.25">
      <c r="A11" s="89"/>
      <c r="B11" s="89"/>
      <c r="C11" s="89"/>
      <c r="D11" s="89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</row>
    <row r="12" spans="1:22" x14ac:dyDescent="0.25">
      <c r="A12" s="89"/>
      <c r="B12" s="89"/>
      <c r="C12" s="89"/>
      <c r="D12" s="89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</row>
    <row r="13" spans="1:22" x14ac:dyDescent="0.25">
      <c r="A13" s="89"/>
      <c r="B13" s="89"/>
      <c r="C13" s="89"/>
      <c r="D13" s="89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</row>
    <row r="14" spans="1:22" x14ac:dyDescent="0.25">
      <c r="A14" s="89"/>
      <c r="B14" s="89"/>
      <c r="C14" s="89"/>
      <c r="D14" s="89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</row>
    <row r="15" spans="1:22" x14ac:dyDescent="0.25">
      <c r="A15" s="89"/>
      <c r="B15" s="89"/>
      <c r="C15" s="89"/>
      <c r="D15" s="89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</row>
    <row r="16" spans="1:22" x14ac:dyDescent="0.25">
      <c r="A16" s="89"/>
      <c r="B16" s="89"/>
      <c r="C16" s="89"/>
      <c r="D16" s="89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</row>
    <row r="17" spans="1:22" x14ac:dyDescent="0.25">
      <c r="A17" s="89"/>
      <c r="B17" s="89"/>
      <c r="C17" s="89"/>
      <c r="D17" s="89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</row>
    <row r="18" spans="1:22" x14ac:dyDescent="0.25">
      <c r="A18" s="89"/>
      <c r="B18" s="89"/>
      <c r="C18" s="89"/>
      <c r="D18" s="89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</row>
    <row r="19" spans="1:22" x14ac:dyDescent="0.25">
      <c r="A19" s="89"/>
      <c r="B19" s="89"/>
      <c r="C19" s="89"/>
      <c r="D19" s="89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</row>
    <row r="20" spans="1:22" x14ac:dyDescent="0.25">
      <c r="A20" s="89"/>
      <c r="B20" s="89"/>
      <c r="C20" s="89"/>
      <c r="D20" s="89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</row>
  </sheetData>
  <mergeCells count="1">
    <mergeCell ref="A1:V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H139"/>
  <sheetViews>
    <sheetView showGridLines="0" topLeftCell="A49" zoomScale="98" zoomScaleNormal="98" workbookViewId="0">
      <selection activeCell="D69" sqref="D69"/>
    </sheetView>
  </sheetViews>
  <sheetFormatPr defaultColWidth="9.140625" defaultRowHeight="15" outlineLevelRow="1" x14ac:dyDescent="0.25"/>
  <cols>
    <col min="1" max="1" width="21" style="55" customWidth="1"/>
    <col min="2" max="2" width="25.28515625" style="55" bestFit="1" customWidth="1"/>
    <col min="3" max="3" width="31.85546875" style="55" bestFit="1" customWidth="1"/>
    <col min="4" max="4" width="56.85546875" style="55" bestFit="1" customWidth="1"/>
    <col min="5" max="5" width="25.5703125" style="55" customWidth="1"/>
    <col min="6" max="6" width="29.28515625" style="55" bestFit="1" customWidth="1"/>
    <col min="7" max="7" width="30.7109375" style="55" bestFit="1" customWidth="1"/>
    <col min="8" max="8" width="19.28515625" style="55" bestFit="1" customWidth="1"/>
    <col min="9" max="9" width="19.28515625" style="55" customWidth="1"/>
    <col min="10" max="10" width="21.42578125" style="55" bestFit="1" customWidth="1"/>
    <col min="11" max="11" width="21.5703125" style="55" customWidth="1"/>
    <col min="12" max="16384" width="9.140625" style="55"/>
  </cols>
  <sheetData>
    <row r="1" spans="1:34" ht="20.25" customHeight="1" x14ac:dyDescent="0.25">
      <c r="A1" s="54" t="s">
        <v>45</v>
      </c>
      <c r="B1" s="54"/>
      <c r="C1" s="54"/>
      <c r="D1" s="54"/>
      <c r="E1" s="54"/>
      <c r="F1" s="54"/>
      <c r="G1" s="54"/>
      <c r="H1" s="54"/>
      <c r="I1" s="54"/>
      <c r="J1" s="54"/>
    </row>
    <row r="3" spans="1:34" x14ac:dyDescent="0.25">
      <c r="A3" s="112" t="s">
        <v>104</v>
      </c>
      <c r="B3" s="112"/>
      <c r="C3" s="112"/>
    </row>
    <row r="4" spans="1:34" x14ac:dyDescent="0.25">
      <c r="A4" s="112" t="s">
        <v>105</v>
      </c>
      <c r="B4" s="112"/>
      <c r="C4" s="112"/>
    </row>
    <row r="7" spans="1:34" ht="26.25" x14ac:dyDescent="0.25">
      <c r="A7" s="56" t="s">
        <v>12</v>
      </c>
      <c r="B7" s="40" t="s">
        <v>106</v>
      </c>
    </row>
    <row r="8" spans="1:34" ht="5.25" customHeight="1" x14ac:dyDescent="0.25">
      <c r="A8" s="57"/>
    </row>
    <row r="9" spans="1:34" ht="43.5" customHeight="1" x14ac:dyDescent="0.25">
      <c r="A9" s="56" t="s">
        <v>11</v>
      </c>
      <c r="B9" s="41">
        <v>96</v>
      </c>
    </row>
    <row r="10" spans="1:34" ht="15" customHeight="1" x14ac:dyDescent="0.25"/>
    <row r="11" spans="1:34" s="21" customFormat="1" ht="20.25" customHeight="1" x14ac:dyDescent="0.25">
      <c r="A11" s="58" t="s">
        <v>46</v>
      </c>
      <c r="B11" s="33"/>
      <c r="C11" s="33"/>
      <c r="D11" s="33"/>
      <c r="E11" s="33"/>
      <c r="F11" s="33"/>
      <c r="G11" s="33"/>
      <c r="H11" s="33"/>
      <c r="I11" s="33"/>
      <c r="J11" s="33"/>
    </row>
    <row r="12" spans="1:34" s="21" customFormat="1" ht="13.5" customHeight="1" outlineLevel="1" x14ac:dyDescent="0.25">
      <c r="A12" s="59"/>
      <c r="B12" s="59"/>
      <c r="C12" s="59"/>
      <c r="D12" s="59"/>
      <c r="E12" s="59"/>
      <c r="F12" s="59"/>
    </row>
    <row r="13" spans="1:34" s="21" customFormat="1" ht="15.75" outlineLevel="1" x14ac:dyDescent="0.25">
      <c r="A13" s="24" t="s">
        <v>24</v>
      </c>
      <c r="E13" s="59"/>
    </row>
    <row r="14" spans="1:34" s="21" customFormat="1" ht="9.75" customHeight="1" outlineLevel="1" x14ac:dyDescent="0.25">
      <c r="A14" s="22"/>
      <c r="E14" s="59"/>
    </row>
    <row r="15" spans="1:34" outlineLevel="1" x14ac:dyDescent="0.25">
      <c r="A15" s="12" t="s">
        <v>25</v>
      </c>
      <c r="B15" s="13" t="s">
        <v>26</v>
      </c>
      <c r="C15" s="11" t="str">
        <f>CONCATENATE("Nº de ",B7, "s")</f>
        <v>Nº de Amostras/placa de 96 poçoss</v>
      </c>
      <c r="D15" s="11" t="s">
        <v>27</v>
      </c>
      <c r="E15" s="11" t="s">
        <v>1</v>
      </c>
      <c r="F15" s="21"/>
      <c r="G15" s="60" t="s">
        <v>28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</row>
    <row r="16" spans="1:34" s="100" customFormat="1" ht="30" outlineLevel="1" x14ac:dyDescent="0.25">
      <c r="A16" s="94" t="s">
        <v>29</v>
      </c>
      <c r="B16" s="95">
        <v>10</v>
      </c>
      <c r="C16" s="95">
        <v>96</v>
      </c>
      <c r="D16" s="96" t="s">
        <v>107</v>
      </c>
      <c r="E16" s="97">
        <v>10</v>
      </c>
      <c r="F16" s="98"/>
      <c r="G16" s="99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</row>
    <row r="17" spans="1:34" outlineLevel="1" x14ac:dyDescent="0.25">
      <c r="A17" s="25"/>
      <c r="B17" s="26"/>
      <c r="C17" s="26"/>
      <c r="D17" s="27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5.75" outlineLevel="1" x14ac:dyDescent="0.25">
      <c r="A18" s="24" t="s">
        <v>30</v>
      </c>
      <c r="B18" s="26"/>
      <c r="C18" s="26"/>
      <c r="D18" s="27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</row>
    <row r="19" spans="1:34" ht="6.75" customHeight="1" outlineLevel="1" x14ac:dyDescent="0.25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</row>
    <row r="20" spans="1:34" outlineLevel="1" x14ac:dyDescent="0.25">
      <c r="A20" s="12" t="s">
        <v>0</v>
      </c>
      <c r="B20" s="13" t="s">
        <v>26</v>
      </c>
      <c r="C20" s="11" t="str">
        <f>CONCATENATE("Nº de ",B7, "s")</f>
        <v>Nº de Amostras/placa de 96 poçoss</v>
      </c>
      <c r="D20" s="11" t="s">
        <v>27</v>
      </c>
      <c r="E20" s="11" t="s">
        <v>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spans="1:34" outlineLevel="1" x14ac:dyDescent="0.25">
      <c r="A21" s="35"/>
      <c r="B21" s="36" t="s">
        <v>108</v>
      </c>
      <c r="C21" s="36"/>
      <c r="D21" s="37"/>
      <c r="E21" s="61" t="str">
        <f>IFERROR(B21/C21,"")</f>
        <v/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4" outlineLevel="1" x14ac:dyDescent="0.25">
      <c r="A22" s="35"/>
      <c r="B22" s="36"/>
      <c r="C22" s="36"/>
      <c r="D22" s="37"/>
      <c r="E22" s="61" t="str">
        <f>IFERROR(B22/C22,"")</f>
        <v/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</row>
    <row r="23" spans="1:34" outlineLevel="1" x14ac:dyDescent="0.25">
      <c r="A23" s="35"/>
      <c r="B23" s="36"/>
      <c r="C23" s="36"/>
      <c r="D23" s="37"/>
      <c r="E23" s="61" t="str">
        <f>IFERROR(B23/C23,"")</f>
        <v/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</row>
    <row r="24" spans="1:34" outlineLevel="1" x14ac:dyDescent="0.25">
      <c r="A24" s="35"/>
      <c r="B24" s="36"/>
      <c r="C24" s="36"/>
      <c r="D24" s="37"/>
      <c r="E24" s="61" t="str">
        <f>IFERROR(B24/C24,"")</f>
        <v/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</row>
    <row r="25" spans="1:34" outlineLevel="1" x14ac:dyDescent="0.25">
      <c r="A25" s="35"/>
      <c r="B25" s="36"/>
      <c r="C25" s="36"/>
      <c r="D25" s="37" t="s">
        <v>31</v>
      </c>
      <c r="E25" s="61" t="str">
        <f>IFERROR(B25/C25,"")</f>
        <v/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</row>
    <row r="26" spans="1:34" s="21" customFormat="1" outlineLevel="1" x14ac:dyDescent="0.25"/>
    <row r="27" spans="1:34" s="21" customFormat="1" ht="15.75" customHeight="1" outlineLevel="1" x14ac:dyDescent="0.25">
      <c r="A27" s="28"/>
      <c r="B27" s="32" t="s">
        <v>41</v>
      </c>
    </row>
    <row r="28" spans="1:34" s="21" customFormat="1" ht="29.25" customHeight="1" outlineLevel="1" x14ac:dyDescent="0.25">
      <c r="A28" s="38" t="s">
        <v>74</v>
      </c>
      <c r="B28" s="62">
        <f>IF(A28="Preço médio por unidade vendida",AVERAGE(E21:E25),E16)</f>
        <v>10</v>
      </c>
      <c r="D28" s="63"/>
    </row>
    <row r="29" spans="1:34" s="21" customFormat="1" outlineLevel="1" x14ac:dyDescent="0.25"/>
    <row r="30" spans="1:34" s="21" customFormat="1" x14ac:dyDescent="0.25"/>
    <row r="31" spans="1:34" ht="20.25" customHeight="1" x14ac:dyDescent="0.25">
      <c r="A31" s="64" t="s">
        <v>47</v>
      </c>
      <c r="B31" s="65"/>
      <c r="C31" s="65"/>
      <c r="D31" s="65"/>
      <c r="E31" s="65"/>
      <c r="F31" s="65"/>
      <c r="G31" s="65"/>
      <c r="H31" s="65"/>
      <c r="I31" s="65"/>
      <c r="J31" s="65"/>
    </row>
    <row r="32" spans="1:34" outlineLevel="1" x14ac:dyDescent="0.25">
      <c r="A32" s="66" t="s">
        <v>23</v>
      </c>
    </row>
    <row r="33" spans="1:11" ht="9.75" customHeight="1" outlineLevel="1" x14ac:dyDescent="0.25">
      <c r="A33" s="66"/>
    </row>
    <row r="34" spans="1:11" ht="30" customHeight="1" outlineLevel="1" x14ac:dyDescent="0.25">
      <c r="A34" s="67" t="s">
        <v>60</v>
      </c>
      <c r="B34" s="67" t="s">
        <v>75</v>
      </c>
      <c r="C34" s="67" t="s">
        <v>61</v>
      </c>
      <c r="D34" s="68"/>
    </row>
    <row r="35" spans="1:11" ht="6" customHeight="1" outlineLevel="1" x14ac:dyDescent="0.25"/>
    <row r="36" spans="1:11" ht="45" outlineLevel="1" x14ac:dyDescent="0.25">
      <c r="A36" s="53" t="str">
        <f>CONCATENATE("Custo de ",D36," deve ser considerado?")</f>
        <v>Custo de Mão de obra deve ser considerado?</v>
      </c>
      <c r="B36" s="53" t="str">
        <f>CONCATENATE("Custo de ",D36," deve ser considerado?")</f>
        <v>Custo de Mão de obra deve ser considerado?</v>
      </c>
      <c r="C36" s="53" t="str">
        <f>CONCATENATE("Custo de ",D36," deve ser considerado?")</f>
        <v>Custo de Mão de obra deve ser considerado?</v>
      </c>
      <c r="D36" s="43" t="s">
        <v>17</v>
      </c>
      <c r="E36" s="44" t="s">
        <v>13</v>
      </c>
      <c r="F36" s="44" t="s">
        <v>89</v>
      </c>
      <c r="G36" s="42" t="s">
        <v>20</v>
      </c>
      <c r="H36" s="42" t="s">
        <v>21</v>
      </c>
      <c r="I36" s="53" t="str">
        <f>CONCATENATE("Custo marginal por ",$B$7," (R$)")</f>
        <v>Custo marginal por Amostras/placa de 96 poços (R$)</v>
      </c>
      <c r="J36" s="53" t="str">
        <f>CONCATENATE("Custo total por ",$B$7," (R$)")</f>
        <v>Custo total por Amostras/placa de 96 poços (R$)</v>
      </c>
    </row>
    <row r="37" spans="1:11" outlineLevel="1" x14ac:dyDescent="0.25">
      <c r="A37" s="47" t="s">
        <v>38</v>
      </c>
      <c r="B37" s="47" t="s">
        <v>38</v>
      </c>
      <c r="C37" s="47" t="s">
        <v>38</v>
      </c>
      <c r="D37" s="47" t="s">
        <v>9</v>
      </c>
      <c r="E37" s="14">
        <f>32/96</f>
        <v>0.33333333333333331</v>
      </c>
      <c r="F37" s="14" t="s">
        <v>39</v>
      </c>
      <c r="G37" s="70">
        <f>IFERROR(VLOOKUP(D37,'Custo de mão de obra'!$B$5:$F$22,3,FALSE),"")</f>
        <v>13.4375</v>
      </c>
      <c r="H37" s="71">
        <f>IFERROR('Preco e Custo por Servico'!G37*E37,"")</f>
        <v>4.4791666666666661</v>
      </c>
      <c r="I37" s="85">
        <f>SUMIFS(H37:H41,F37:F41,"Sim")</f>
        <v>0</v>
      </c>
      <c r="J37" s="86">
        <f>IFERROR(SUM(H37:H41)/$B$9,"")</f>
        <v>4.6657986111111105E-2</v>
      </c>
    </row>
    <row r="38" spans="1:11" outlineLevel="1" x14ac:dyDescent="0.25">
      <c r="A38" s="84"/>
      <c r="B38" s="84"/>
      <c r="C38" s="84"/>
      <c r="D38" s="45"/>
      <c r="E38" s="15"/>
      <c r="F38" s="14" t="s">
        <v>39</v>
      </c>
      <c r="G38" s="70" t="str">
        <f>IFERROR(VLOOKUP(D38,'Custo de mão de obra'!$B$5:$F$22,3,FALSE),"")</f>
        <v/>
      </c>
      <c r="H38" s="71" t="str">
        <f>IFERROR(G38*E38,"")</f>
        <v/>
      </c>
      <c r="I38" s="84"/>
      <c r="J38" s="84"/>
    </row>
    <row r="39" spans="1:11" outlineLevel="1" x14ac:dyDescent="0.25">
      <c r="A39" s="84"/>
      <c r="B39" s="84"/>
      <c r="C39" s="84"/>
      <c r="D39" s="45"/>
      <c r="E39" s="15"/>
      <c r="F39" s="14" t="s">
        <v>39</v>
      </c>
      <c r="G39" s="70" t="str">
        <f>IFERROR(VLOOKUP(D39,'Custo de mão de obra'!$B$5:$F$22,3,FALSE),"")</f>
        <v/>
      </c>
      <c r="H39" s="71" t="str">
        <f>IFERROR(G39*E39,"")</f>
        <v/>
      </c>
      <c r="I39" s="84"/>
      <c r="J39" s="84"/>
    </row>
    <row r="40" spans="1:11" outlineLevel="1" x14ac:dyDescent="0.25">
      <c r="A40" s="84"/>
      <c r="B40" s="84"/>
      <c r="C40" s="84"/>
      <c r="D40" s="45"/>
      <c r="E40" s="15"/>
      <c r="F40" s="14" t="s">
        <v>39</v>
      </c>
      <c r="G40" s="70" t="str">
        <f>IFERROR(VLOOKUP(D40,'Custo de mão de obra'!$B$5:$F$22,3,FALSE),"")</f>
        <v/>
      </c>
      <c r="H40" s="71" t="str">
        <f>IFERROR(G40*E40,"")</f>
        <v/>
      </c>
      <c r="I40" s="84"/>
      <c r="J40" s="84"/>
    </row>
    <row r="41" spans="1:11" outlineLevel="1" x14ac:dyDescent="0.25">
      <c r="A41" s="84"/>
      <c r="B41" s="84"/>
      <c r="C41" s="84"/>
      <c r="D41" s="46"/>
      <c r="E41" s="16"/>
      <c r="F41" s="76" t="s">
        <v>39</v>
      </c>
      <c r="G41" s="70" t="str">
        <f>IFERROR(VLOOKUP(D41,'Custo de mão de obra'!$B$5:$F$22,3,FALSE),"")</f>
        <v/>
      </c>
      <c r="H41" s="71" t="str">
        <f>IFERROR(G41*E41,"")</f>
        <v/>
      </c>
      <c r="I41" s="84"/>
      <c r="J41" s="84"/>
    </row>
    <row r="42" spans="1:11" outlineLevel="1" x14ac:dyDescent="0.25"/>
    <row r="43" spans="1:11" ht="45" outlineLevel="1" x14ac:dyDescent="0.25">
      <c r="A43" s="53" t="str">
        <f>CONCATENATE("Custo de ",D43," deve ser considerado?")</f>
        <v>Custo de Equipamentos deve ser considerado?</v>
      </c>
      <c r="B43" s="53" t="str">
        <f>CONCATENATE("Custo de ",D43," deve ser considerado?")</f>
        <v>Custo de Equipamentos deve ser considerado?</v>
      </c>
      <c r="C43" s="53" t="str">
        <f>CONCATENATE("Custo de ",D43," deve ser considerado?")</f>
        <v>Custo de Equipamentos deve ser considerado?</v>
      </c>
      <c r="D43" s="44" t="s">
        <v>16</v>
      </c>
      <c r="E43" s="44" t="s">
        <v>79</v>
      </c>
      <c r="F43" s="44" t="s">
        <v>89</v>
      </c>
      <c r="G43" s="44" t="s">
        <v>86</v>
      </c>
      <c r="H43" s="42" t="s">
        <v>21</v>
      </c>
      <c r="I43" s="44" t="s">
        <v>87</v>
      </c>
      <c r="J43" s="53" t="str">
        <f>CONCATENATE("Custo marginal por ",$B$7," (R$)")</f>
        <v>Custo marginal por Amostras/placa de 96 poços (R$)</v>
      </c>
      <c r="K43" s="53" t="str">
        <f>CONCATENATE("Custo total por ",$B$7," (R$)")</f>
        <v>Custo total por Amostras/placa de 96 poços (R$)</v>
      </c>
    </row>
    <row r="44" spans="1:11" outlineLevel="1" x14ac:dyDescent="0.25">
      <c r="A44" s="47" t="s">
        <v>38</v>
      </c>
      <c r="B44" s="47" t="s">
        <v>38</v>
      </c>
      <c r="C44" s="47" t="s">
        <v>38</v>
      </c>
      <c r="D44" s="47"/>
      <c r="E44" s="19"/>
      <c r="F44" s="84"/>
      <c r="G44" s="70" t="str">
        <f>IFERROR(VLOOKUP(D44,'Custos com equipamentos'!$B$5:$I$28,8,FALSE),"")</f>
        <v/>
      </c>
      <c r="H44" s="71" t="str">
        <f t="shared" ref="H44" si="0">IFERROR(G44*E44,"")</f>
        <v/>
      </c>
      <c r="I44" s="72" t="str">
        <f>IFERROR(VLOOKUP(D44,'Custos com equipamentos'!$B$5:$I$28,7,FALSE)*E44,"")</f>
        <v/>
      </c>
      <c r="J44" s="69">
        <f>IFERROR(SUM(I44:I56)/$B$9,"")</f>
        <v>1.0846306868767806E-2</v>
      </c>
      <c r="K44" s="69">
        <f>IFERROR(SUM(H44:H56)/$B$9,"")</f>
        <v>1.0846306868767806E-2</v>
      </c>
    </row>
    <row r="45" spans="1:11" outlineLevel="1" x14ac:dyDescent="0.25">
      <c r="A45" s="84"/>
      <c r="B45" s="84"/>
      <c r="C45" s="84"/>
      <c r="D45" s="49" t="s">
        <v>111</v>
      </c>
      <c r="E45" s="109">
        <f>2/96</f>
        <v>2.0833333333333332E-2</v>
      </c>
      <c r="F45" s="84" t="s">
        <v>102</v>
      </c>
      <c r="G45" s="70">
        <f>IFERROR(VLOOKUP(D45,'Custos com equipamentos'!$B$5:$I$28,8,FALSE),"")</f>
        <v>27.05123076923077</v>
      </c>
      <c r="H45" s="71">
        <f>IFERROR(G45*E45,"")</f>
        <v>0.56356730769230767</v>
      </c>
      <c r="I45" s="72">
        <f>IFERROR(VLOOKUP(D45,'Custos com equipamentos'!$B$5:$I$28,7,FALSE)*E45,"")</f>
        <v>0.56356730769230767</v>
      </c>
      <c r="J45" s="84">
        <f t="shared" ref="J45:J56" si="1">IFERROR(SUM(I44:I56)/$B$9,"")</f>
        <v>1.0846306868767806E-2</v>
      </c>
      <c r="K45" s="84">
        <f t="shared" ref="K45:K56" si="2">IFERROR(SUM(H44:H56)/$B$9,"")</f>
        <v>1.0846306868767806E-2</v>
      </c>
    </row>
    <row r="46" spans="1:11" outlineLevel="1" x14ac:dyDescent="0.25">
      <c r="A46" s="84"/>
      <c r="B46" s="84"/>
      <c r="C46" s="84"/>
      <c r="D46" s="49" t="s">
        <v>112</v>
      </c>
      <c r="E46" s="109">
        <f>4/96</f>
        <v>4.1666666666666664E-2</v>
      </c>
      <c r="F46" s="84" t="s">
        <v>102</v>
      </c>
      <c r="G46" s="70">
        <f>IFERROR(VLOOKUP(D46,'Custos com equipamentos'!$B$5:$I$28,8,FALSE),"")</f>
        <v>0.30355448717948713</v>
      </c>
      <c r="H46" s="71">
        <f t="shared" ref="H46:H56" si="3">IFERROR(G46*E46,"")</f>
        <v>1.2648103632478629E-2</v>
      </c>
      <c r="I46" s="72">
        <f>IFERROR(VLOOKUP(D46,'Custos com equipamentos'!$B$5:$I$28,7,FALSE)*E46,"")</f>
        <v>1.2648103632478629E-2</v>
      </c>
      <c r="J46" s="84">
        <f t="shared" si="1"/>
        <v>1.0846306868767806E-2</v>
      </c>
      <c r="K46" s="84">
        <f t="shared" si="2"/>
        <v>1.0846306868767806E-2</v>
      </c>
    </row>
    <row r="47" spans="1:11" outlineLevel="1" x14ac:dyDescent="0.25">
      <c r="A47" s="84"/>
      <c r="B47" s="84"/>
      <c r="C47" s="84"/>
      <c r="D47" s="49" t="s">
        <v>113</v>
      </c>
      <c r="E47" s="109">
        <f>12/96</f>
        <v>0.125</v>
      </c>
      <c r="F47" s="84" t="s">
        <v>102</v>
      </c>
      <c r="G47" s="70">
        <f>IFERROR(VLOOKUP(D47,'Custos com equipamentos'!$B$5:$I$28,8,FALSE),"")</f>
        <v>0.70370726495726488</v>
      </c>
      <c r="H47" s="71">
        <f t="shared" si="3"/>
        <v>8.796340811965811E-2</v>
      </c>
      <c r="I47" s="72">
        <f>IFERROR(VLOOKUP(D47,'Custos com equipamentos'!$B$5:$I$28,7,FALSE)*E47,"")</f>
        <v>8.796340811965811E-2</v>
      </c>
      <c r="J47" s="84">
        <f t="shared" si="1"/>
        <v>4.9758140803062671E-3</v>
      </c>
      <c r="K47" s="84">
        <f t="shared" si="2"/>
        <v>4.9758140803062671E-3</v>
      </c>
    </row>
    <row r="48" spans="1:11" outlineLevel="1" x14ac:dyDescent="0.25">
      <c r="A48" s="84"/>
      <c r="B48" s="84"/>
      <c r="C48" s="84"/>
      <c r="D48" s="48" t="s">
        <v>114</v>
      </c>
      <c r="E48" s="109">
        <f>6/96</f>
        <v>6.25E-2</v>
      </c>
      <c r="F48" s="84" t="s">
        <v>102</v>
      </c>
      <c r="G48" s="70">
        <f>IFERROR(VLOOKUP(D48,'Custos com equipamentos'!$B$5:$I$28,8,FALSE),"")</f>
        <v>2.6655982905982905</v>
      </c>
      <c r="H48" s="71">
        <f t="shared" si="3"/>
        <v>0.16659989316239315</v>
      </c>
      <c r="I48" s="72">
        <f>IFERROR(VLOOKUP(D48,'Custos com equipamentos'!$B$5:$I$28,7,FALSE)*E48,"")</f>
        <v>0.16659989316239315</v>
      </c>
      <c r="J48" s="84">
        <f t="shared" si="1"/>
        <v>2.4681302584134618E-2</v>
      </c>
      <c r="K48" s="84">
        <f t="shared" si="2"/>
        <v>4.8440630008012818E-3</v>
      </c>
    </row>
    <row r="49" spans="1:11" outlineLevel="1" x14ac:dyDescent="0.25">
      <c r="A49" s="84"/>
      <c r="B49" s="84"/>
      <c r="C49" s="84"/>
      <c r="D49" s="49" t="s">
        <v>115</v>
      </c>
      <c r="E49" s="109">
        <f>1/96</f>
        <v>1.0416666666666666E-2</v>
      </c>
      <c r="F49" s="84" t="s">
        <v>102</v>
      </c>
      <c r="G49" s="70" t="str">
        <f>IFERROR(VLOOKUP(D49,'Custos com equipamentos'!$B$5:$I$28,8,FALSE),"")</f>
        <v/>
      </c>
      <c r="H49" s="71" t="str">
        <f t="shared" si="3"/>
        <v/>
      </c>
      <c r="I49" s="72" t="str">
        <f>IFERROR(VLOOKUP(D49,'Custos com equipamentos'!$B$5:$I$28,7,FALSE)*E49,"")</f>
        <v/>
      </c>
      <c r="J49" s="84">
        <f t="shared" si="1"/>
        <v>4.3602256666221507E-2</v>
      </c>
      <c r="K49" s="84">
        <f t="shared" si="2"/>
        <v>4.4594615273326208E-3</v>
      </c>
    </row>
    <row r="50" spans="1:11" outlineLevel="1" x14ac:dyDescent="0.25">
      <c r="A50" s="84"/>
      <c r="B50" s="84"/>
      <c r="C50" s="84"/>
      <c r="D50" s="49" t="s">
        <v>116</v>
      </c>
      <c r="E50" s="109">
        <f>72/96</f>
        <v>0.75</v>
      </c>
      <c r="F50" s="84" t="s">
        <v>102</v>
      </c>
      <c r="G50" s="70" t="str">
        <f>IFERROR(VLOOKUP(D50,'Custos com equipamentos'!$B$5:$I$28,8,FALSE),"")</f>
        <v/>
      </c>
      <c r="H50" s="71" t="str">
        <f t="shared" si="3"/>
        <v/>
      </c>
      <c r="I50" s="72" t="str">
        <f>IFERROR(VLOOKUP(D50,'Custos com equipamentos'!$B$5:$I$28,7,FALSE)*E50,"")</f>
        <v/>
      </c>
      <c r="J50" s="84">
        <f t="shared" si="1"/>
        <v>6.1704080695779921E-2</v>
      </c>
      <c r="K50" s="84">
        <f t="shared" si="2"/>
        <v>2.8868063902243589E-3</v>
      </c>
    </row>
    <row r="51" spans="1:11" outlineLevel="1" x14ac:dyDescent="0.25">
      <c r="A51" s="84"/>
      <c r="B51" s="84"/>
      <c r="C51" s="84"/>
      <c r="D51" s="49" t="s">
        <v>117</v>
      </c>
      <c r="E51" s="109">
        <f>72/96</f>
        <v>0.75</v>
      </c>
      <c r="F51" s="84" t="s">
        <v>102</v>
      </c>
      <c r="G51" s="70">
        <f>IFERROR(VLOOKUP(D51,'Custos com equipamentos'!$B$5:$I$28,8,FALSE),"")</f>
        <v>0.13354700854700854</v>
      </c>
      <c r="H51" s="71">
        <f t="shared" si="3"/>
        <v>0.10016025641025642</v>
      </c>
      <c r="I51" s="72">
        <f>IFERROR(VLOOKUP(D51,'Custos com equipamentos'!$B$5:$I$28,7,FALSE)*E51,"")</f>
        <v>0.10016025641025642</v>
      </c>
      <c r="J51" s="84">
        <f t="shared" si="1"/>
        <v>8.1541320279113247E-2</v>
      </c>
      <c r="K51" s="84">
        <f t="shared" si="2"/>
        <v>4.5144105568910254E-3</v>
      </c>
    </row>
    <row r="52" spans="1:11" outlineLevel="1" x14ac:dyDescent="0.25">
      <c r="A52" s="84"/>
      <c r="B52" s="84"/>
      <c r="C52" s="84"/>
      <c r="D52" s="49" t="s">
        <v>118</v>
      </c>
      <c r="E52" s="109">
        <f>24/96</f>
        <v>0.25</v>
      </c>
      <c r="F52" s="84" t="s">
        <v>102</v>
      </c>
      <c r="G52" s="70">
        <f>IFERROR(VLOOKUP(D52,'Custos com equipamentos'!$B$5:$I$28,8,FALSE),"")</f>
        <v>3.4340659340659344E-2</v>
      </c>
      <c r="H52" s="71">
        <f t="shared" si="3"/>
        <v>8.5851648351648359E-3</v>
      </c>
      <c r="I52" s="72">
        <f>IFERROR(VLOOKUP(D52,'Custos com equipamentos'!$B$5:$I$28,7,FALSE)*E52,"")</f>
        <v>8.5851648351648359E-3</v>
      </c>
      <c r="J52" s="84">
        <f t="shared" si="1"/>
        <v>0.10137855986244659</v>
      </c>
      <c r="K52" s="84">
        <f t="shared" si="2"/>
        <v>4.6229175013354704E-3</v>
      </c>
    </row>
    <row r="53" spans="1:11" outlineLevel="1" x14ac:dyDescent="0.25">
      <c r="A53" s="84"/>
      <c r="B53" s="84"/>
      <c r="C53" s="84"/>
      <c r="D53" s="49" t="s">
        <v>119</v>
      </c>
      <c r="E53" s="109">
        <f>24/96</f>
        <v>0.25</v>
      </c>
      <c r="F53" s="84" t="s">
        <v>102</v>
      </c>
      <c r="G53" s="70">
        <f>IFERROR(VLOOKUP(D53,'Custos com equipamentos'!$B$5:$I$28,8,FALSE),"")</f>
        <v>5.7234432234432232E-2</v>
      </c>
      <c r="H53" s="71">
        <f t="shared" si="3"/>
        <v>1.4308608058608058E-2</v>
      </c>
      <c r="I53" s="72">
        <f>IFERROR(VLOOKUP(D53,'Custos com equipamentos'!$B$5:$I$28,7,FALSE)*E53,"")</f>
        <v>1.4308608058608058E-2</v>
      </c>
      <c r="J53" s="84">
        <f t="shared" si="1"/>
        <v>0.12017246344150641</v>
      </c>
      <c r="K53" s="84">
        <f t="shared" si="2"/>
        <v>3.6880884415064104E-3</v>
      </c>
    </row>
    <row r="54" spans="1:11" outlineLevel="1" x14ac:dyDescent="0.25">
      <c r="A54" s="84"/>
      <c r="B54" s="84"/>
      <c r="C54" s="84"/>
      <c r="D54" s="49" t="s">
        <v>120</v>
      </c>
      <c r="E54" s="109">
        <f>1/96</f>
        <v>1.0416666666666666E-2</v>
      </c>
      <c r="F54" s="84" t="s">
        <v>102</v>
      </c>
      <c r="G54" s="70" t="str">
        <f>IFERROR(VLOOKUP(D54,'Custos com equipamentos'!$B$5:$I$28,8,FALSE),"")</f>
        <v/>
      </c>
      <c r="H54" s="71" t="str">
        <f t="shared" si="3"/>
        <v/>
      </c>
      <c r="I54" s="72" t="str">
        <f>IFERROR(VLOOKUP(D54,'Custos com equipamentos'!$B$5:$I$28,7,FALSE)*E54,"")</f>
        <v/>
      </c>
      <c r="J54" s="84">
        <f t="shared" si="1"/>
        <v>0.139811767280029</v>
      </c>
      <c r="K54" s="84">
        <f t="shared" si="2"/>
        <v>1.3255777696695665E-2</v>
      </c>
    </row>
    <row r="55" spans="1:11" outlineLevel="1" x14ac:dyDescent="0.25">
      <c r="A55" s="84"/>
      <c r="B55" s="84"/>
      <c r="C55" s="84"/>
      <c r="D55" s="49" t="s">
        <v>121</v>
      </c>
      <c r="E55" s="109">
        <f>2/96</f>
        <v>2.0833333333333332E-2</v>
      </c>
      <c r="F55" s="84" t="s">
        <v>102</v>
      </c>
      <c r="G55" s="70">
        <f>IFERROR(VLOOKUP(D55,'Custos com equipamentos'!$B$5:$I$28,8,FALSE),"")</f>
        <v>3.8524038461538463</v>
      </c>
      <c r="H55" s="71">
        <f t="shared" si="3"/>
        <v>8.0258413461538461E-2</v>
      </c>
      <c r="I55" s="72">
        <f>IFERROR(VLOOKUP(D55,'Custos com equipamentos'!$B$5:$I$28,7,FALSE)*E55,"")</f>
        <v>8.0258413461538461E-2</v>
      </c>
      <c r="J55" s="84">
        <f t="shared" si="1"/>
        <v>0.15928294497386294</v>
      </c>
      <c r="K55" s="84">
        <f t="shared" si="2"/>
        <v>1.3236938029418497E-2</v>
      </c>
    </row>
    <row r="56" spans="1:11" outlineLevel="1" x14ac:dyDescent="0.25">
      <c r="A56" s="84"/>
      <c r="B56" s="84"/>
      <c r="C56" s="84"/>
      <c r="D56" s="49" t="s">
        <v>122</v>
      </c>
      <c r="E56" s="109">
        <f>24/96</f>
        <v>0.25</v>
      </c>
      <c r="F56" s="84" t="s">
        <v>102</v>
      </c>
      <c r="G56" s="70">
        <f>IFERROR(VLOOKUP(D56,'Custos com equipamentos'!$B$5:$I$28,8,FALSE),"")</f>
        <v>2.8617216117216116E-2</v>
      </c>
      <c r="H56" s="71">
        <f t="shared" si="3"/>
        <v>7.154304029304029E-3</v>
      </c>
      <c r="I56" s="72">
        <f>IFERROR(VLOOKUP(D56,'Custos com equipamentos'!$B$5:$I$28,7,FALSE)*E56,"")</f>
        <v>7.154304029304029E-3</v>
      </c>
      <c r="J56" s="84">
        <f t="shared" si="1"/>
        <v>0.16924605261275183</v>
      </c>
      <c r="K56" s="84">
        <f t="shared" si="2"/>
        <v>2.0079385946085163E-2</v>
      </c>
    </row>
    <row r="57" spans="1:11" outlineLevel="1" x14ac:dyDescent="0.25"/>
    <row r="58" spans="1:11" ht="45" outlineLevel="1" x14ac:dyDescent="0.25">
      <c r="A58" s="53" t="str">
        <f>CONCATENATE("Custo de ",D58," deve ser considerado?")</f>
        <v>Custo de Material de consumo deve ser considerado?</v>
      </c>
      <c r="B58" s="53" t="str">
        <f>CONCATENATE("Custo de ",D58," deve ser considerado?")</f>
        <v>Custo de Material de consumo deve ser considerado?</v>
      </c>
      <c r="C58" s="53" t="str">
        <f>CONCATENATE("Custo de ",D58," deve ser considerado?")</f>
        <v>Custo de Material de consumo deve ser considerado?</v>
      </c>
      <c r="D58" s="44" t="s">
        <v>14</v>
      </c>
      <c r="E58" s="44" t="s">
        <v>80</v>
      </c>
      <c r="F58" s="44" t="s">
        <v>89</v>
      </c>
      <c r="G58" s="44" t="s">
        <v>22</v>
      </c>
      <c r="H58" s="44" t="s">
        <v>21</v>
      </c>
      <c r="I58" s="53" t="str">
        <f>CONCATENATE("Custo marginal por ",$B$7," (R$)")</f>
        <v>Custo marginal por Amostras/placa de 96 poços (R$)</v>
      </c>
      <c r="J58" s="53" t="str">
        <f>CONCATENATE("Custo total por ",$B$7," (R$)")</f>
        <v>Custo total por Amostras/placa de 96 poços (R$)</v>
      </c>
    </row>
    <row r="59" spans="1:11" outlineLevel="1" x14ac:dyDescent="0.25">
      <c r="A59" s="47" t="s">
        <v>38</v>
      </c>
      <c r="B59" s="47" t="s">
        <v>38</v>
      </c>
      <c r="C59" s="47" t="s">
        <v>38</v>
      </c>
      <c r="D59" s="52"/>
      <c r="E59" s="19"/>
      <c r="F59" s="14"/>
      <c r="G59" s="19"/>
      <c r="H59" s="71">
        <f>IFERROR(G59*E59,"")</f>
        <v>0</v>
      </c>
      <c r="I59" s="72">
        <f>SUMIFS(H59:H85,F59:F85,"Sim")</f>
        <v>1.9043750000000002</v>
      </c>
      <c r="J59" s="69">
        <f>IFERROR(SUM(H59:H85)/$B$9,"")</f>
        <v>0.55313368055555545</v>
      </c>
    </row>
    <row r="60" spans="1:11" outlineLevel="1" x14ac:dyDescent="0.25">
      <c r="A60" s="84"/>
      <c r="B60" s="84"/>
      <c r="C60" s="84"/>
      <c r="D60" s="50" t="s">
        <v>123</v>
      </c>
      <c r="E60" s="15">
        <f t="shared" ref="E60:E65" si="4">1/96</f>
        <v>1.0416666666666666E-2</v>
      </c>
      <c r="F60" s="14" t="s">
        <v>39</v>
      </c>
      <c r="G60" s="14">
        <v>4.9000000000000004</v>
      </c>
      <c r="H60" s="71">
        <f t="shared" ref="H60:H61" si="5">IFERROR(G60*E60,"")</f>
        <v>5.1041666666666666E-2</v>
      </c>
      <c r="I60" s="84">
        <f>SUMIFS(H59:H85,F59:F85,"Sim")</f>
        <v>1.9043750000000002</v>
      </c>
      <c r="J60" s="84">
        <f>IFERROR(SUM(H59:H85)/$B$9,"")</f>
        <v>0.55313368055555545</v>
      </c>
    </row>
    <row r="61" spans="1:11" outlineLevel="1" x14ac:dyDescent="0.25">
      <c r="A61" s="84"/>
      <c r="B61" s="84"/>
      <c r="C61" s="84"/>
      <c r="D61" s="50" t="s">
        <v>124</v>
      </c>
      <c r="E61" s="104">
        <f t="shared" si="4"/>
        <v>1.0416666666666666E-2</v>
      </c>
      <c r="F61" s="14" t="s">
        <v>39</v>
      </c>
      <c r="G61" s="14">
        <v>1.5</v>
      </c>
      <c r="H61" s="71">
        <f t="shared" si="5"/>
        <v>1.5625E-2</v>
      </c>
      <c r="I61" s="84">
        <f t="shared" ref="I61:I85" si="6">SUMIFS(H60:H86,F60:F86,"Sim")</f>
        <v>1.9043750000000002</v>
      </c>
      <c r="J61" s="84">
        <f t="shared" ref="J61:J85" si="7">IFERROR(SUM(H60:H86)/$B$9,"")</f>
        <v>0.55313368055555545</v>
      </c>
    </row>
    <row r="62" spans="1:11" outlineLevel="1" x14ac:dyDescent="0.25">
      <c r="A62" s="84"/>
      <c r="B62" s="84"/>
      <c r="C62" s="84"/>
      <c r="D62" s="50" t="s">
        <v>125</v>
      </c>
      <c r="E62" s="103">
        <f t="shared" si="4"/>
        <v>1.0416666666666666E-2</v>
      </c>
      <c r="F62" s="14" t="s">
        <v>39</v>
      </c>
      <c r="G62" s="14">
        <v>15</v>
      </c>
      <c r="H62" s="71">
        <f>IFERROR(G62*E62,"")</f>
        <v>0.15625</v>
      </c>
      <c r="I62" s="84">
        <f t="shared" si="6"/>
        <v>1.9043750000000002</v>
      </c>
      <c r="J62" s="84">
        <f t="shared" si="7"/>
        <v>0.55260199652777775</v>
      </c>
    </row>
    <row r="63" spans="1:11" outlineLevel="1" x14ac:dyDescent="0.25">
      <c r="A63" s="84"/>
      <c r="B63" s="84"/>
      <c r="C63" s="84"/>
      <c r="D63" s="50" t="s">
        <v>126</v>
      </c>
      <c r="E63" s="103">
        <f t="shared" si="4"/>
        <v>1.0416666666666666E-2</v>
      </c>
      <c r="F63" s="14" t="s">
        <v>38</v>
      </c>
      <c r="G63" s="14">
        <v>1</v>
      </c>
      <c r="H63" s="71">
        <f t="shared" ref="H63:H69" si="8">IFERROR(G63*E63,"")</f>
        <v>1.0416666666666666E-2</v>
      </c>
      <c r="I63" s="84">
        <f t="shared" si="6"/>
        <v>1.9043750000000002</v>
      </c>
      <c r="J63" s="84">
        <f t="shared" si="7"/>
        <v>0.55243923611111112</v>
      </c>
    </row>
    <row r="64" spans="1:11" outlineLevel="1" x14ac:dyDescent="0.25">
      <c r="A64" s="84"/>
      <c r="B64" s="84"/>
      <c r="C64" s="84"/>
      <c r="D64" s="50" t="s">
        <v>127</v>
      </c>
      <c r="E64" s="103">
        <f t="shared" si="4"/>
        <v>1.0416666666666666E-2</v>
      </c>
      <c r="F64" s="14" t="s">
        <v>38</v>
      </c>
      <c r="G64" s="14">
        <v>1</v>
      </c>
      <c r="H64" s="71">
        <f t="shared" si="8"/>
        <v>1.0416666666666666E-2</v>
      </c>
      <c r="I64" s="84">
        <f t="shared" si="6"/>
        <v>1.9043750000000002</v>
      </c>
      <c r="J64" s="84">
        <f t="shared" si="7"/>
        <v>0.55081163194444438</v>
      </c>
    </row>
    <row r="65" spans="1:10" outlineLevel="1" x14ac:dyDescent="0.25">
      <c r="A65" s="84"/>
      <c r="B65" s="84"/>
      <c r="C65" s="84"/>
      <c r="D65" s="50" t="s">
        <v>128</v>
      </c>
      <c r="E65" s="103">
        <f t="shared" si="4"/>
        <v>1.0416666666666666E-2</v>
      </c>
      <c r="F65" s="14" t="s">
        <v>38</v>
      </c>
      <c r="G65" s="14">
        <v>89</v>
      </c>
      <c r="H65" s="71">
        <f t="shared" si="8"/>
        <v>0.92708333333333326</v>
      </c>
      <c r="I65" s="84">
        <f t="shared" si="6"/>
        <v>1.8939583333333334</v>
      </c>
      <c r="J65" s="84">
        <f t="shared" si="7"/>
        <v>0.55070312499999996</v>
      </c>
    </row>
    <row r="66" spans="1:10" outlineLevel="1" x14ac:dyDescent="0.25">
      <c r="A66" s="84"/>
      <c r="B66" s="84"/>
      <c r="C66" s="84"/>
      <c r="D66" s="50" t="s">
        <v>129</v>
      </c>
      <c r="E66" s="103">
        <f t="shared" ref="E66:E85" si="9">1/96</f>
        <v>1.0416666666666666E-2</v>
      </c>
      <c r="F66" s="14" t="s">
        <v>38</v>
      </c>
      <c r="G66" s="14">
        <v>1.2</v>
      </c>
      <c r="H66" s="71">
        <f t="shared" si="8"/>
        <v>1.2499999999999999E-2</v>
      </c>
      <c r="I66" s="84">
        <f t="shared" si="6"/>
        <v>1.8835416666666667</v>
      </c>
      <c r="J66" s="84">
        <f t="shared" si="7"/>
        <v>0.55059461805555554</v>
      </c>
    </row>
    <row r="67" spans="1:10" outlineLevel="1" x14ac:dyDescent="0.25">
      <c r="A67" s="84"/>
      <c r="B67" s="84"/>
      <c r="C67" s="84"/>
      <c r="D67" s="50" t="s">
        <v>130</v>
      </c>
      <c r="E67" s="103">
        <f>1/96</f>
        <v>1.0416666666666666E-2</v>
      </c>
      <c r="F67" s="14" t="s">
        <v>38</v>
      </c>
      <c r="G67" s="14">
        <v>63.06</v>
      </c>
      <c r="H67" s="71">
        <f t="shared" si="8"/>
        <v>0.65687499999999999</v>
      </c>
      <c r="I67" s="84">
        <f t="shared" si="6"/>
        <v>0.95645833333333319</v>
      </c>
      <c r="J67" s="84">
        <f t="shared" si="7"/>
        <v>0.54093749999999996</v>
      </c>
    </row>
    <row r="68" spans="1:10" outlineLevel="1" x14ac:dyDescent="0.25">
      <c r="A68" s="84"/>
      <c r="B68" s="84"/>
      <c r="C68" s="84"/>
      <c r="D68" s="50" t="s">
        <v>150</v>
      </c>
      <c r="E68" s="103">
        <f>1/96</f>
        <v>1.0416666666666666E-2</v>
      </c>
      <c r="F68" s="14" t="s">
        <v>38</v>
      </c>
      <c r="G68" s="14">
        <v>16.420000000000002</v>
      </c>
      <c r="H68" s="71">
        <f t="shared" si="8"/>
        <v>0.17104166666666668</v>
      </c>
      <c r="I68" s="84">
        <f t="shared" si="6"/>
        <v>0.94395833333333323</v>
      </c>
      <c r="J68" s="84">
        <f t="shared" si="7"/>
        <v>0.54080729166666663</v>
      </c>
    </row>
    <row r="69" spans="1:10" outlineLevel="1" x14ac:dyDescent="0.25">
      <c r="A69" s="84"/>
      <c r="B69" s="84"/>
      <c r="C69" s="84"/>
      <c r="D69" s="51" t="s">
        <v>131</v>
      </c>
      <c r="E69" s="103">
        <f>1/96</f>
        <v>1.0416666666666666E-2</v>
      </c>
      <c r="F69" s="76" t="s">
        <v>38</v>
      </c>
      <c r="G69" s="20">
        <v>0.39</v>
      </c>
      <c r="H69" s="71">
        <f t="shared" si="8"/>
        <v>4.0625000000000001E-3</v>
      </c>
      <c r="I69" s="84">
        <f t="shared" si="6"/>
        <v>0.28708333333333336</v>
      </c>
      <c r="J69" s="84">
        <f t="shared" si="7"/>
        <v>0.53396484374999986</v>
      </c>
    </row>
    <row r="70" spans="1:10" outlineLevel="1" x14ac:dyDescent="0.25">
      <c r="A70" s="84"/>
      <c r="B70" s="84"/>
      <c r="C70" s="84"/>
      <c r="D70" s="50" t="s">
        <v>132</v>
      </c>
      <c r="E70" s="103">
        <v>0</v>
      </c>
      <c r="F70" s="14" t="s">
        <v>39</v>
      </c>
      <c r="G70" s="14">
        <f>45/1000</f>
        <v>4.4999999999999998E-2</v>
      </c>
      <c r="H70" s="71">
        <f>IFERROR(G70*E70,"")</f>
        <v>0</v>
      </c>
      <c r="I70" s="84">
        <f>SUMIFS(H69:H95,F69:F95,"Sim")</f>
        <v>0.11604166666666665</v>
      </c>
      <c r="J70" s="84">
        <f t="shared" si="7"/>
        <v>0.53218315972222219</v>
      </c>
    </row>
    <row r="71" spans="1:10" outlineLevel="1" x14ac:dyDescent="0.25">
      <c r="A71" s="84"/>
      <c r="B71" s="84"/>
      <c r="C71" s="84"/>
      <c r="D71" s="50" t="s">
        <v>133</v>
      </c>
      <c r="E71" s="103">
        <f>1/96</f>
        <v>1.0416666666666666E-2</v>
      </c>
      <c r="F71" s="14" t="s">
        <v>39</v>
      </c>
      <c r="G71" s="14">
        <v>157</v>
      </c>
      <c r="H71" s="71">
        <f t="shared" ref="H71:H85" si="10">IFERROR(G71*E71,"")</f>
        <v>1.6354166666666665</v>
      </c>
      <c r="I71" s="84">
        <f t="shared" si="6"/>
        <v>0.11197916666666666</v>
      </c>
      <c r="J71" s="84">
        <f t="shared" si="7"/>
        <v>0.53214084201388889</v>
      </c>
    </row>
    <row r="72" spans="1:10" outlineLevel="1" x14ac:dyDescent="0.25">
      <c r="A72" s="84"/>
      <c r="B72" s="84"/>
      <c r="C72" s="84"/>
      <c r="D72" s="50" t="s">
        <v>134</v>
      </c>
      <c r="E72" s="103">
        <f t="shared" si="9"/>
        <v>1.0416666666666666E-2</v>
      </c>
      <c r="F72" s="14" t="s">
        <v>39</v>
      </c>
      <c r="G72" s="110">
        <v>2158</v>
      </c>
      <c r="H72" s="71">
        <f>IFERROR(G72*E72,"")</f>
        <v>22.479166666666664</v>
      </c>
      <c r="I72" s="84">
        <f t="shared" si="6"/>
        <v>0.11197916666666666</v>
      </c>
      <c r="J72" s="84">
        <f t="shared" si="7"/>
        <v>0.53214084201388889</v>
      </c>
    </row>
    <row r="73" spans="1:10" outlineLevel="1" x14ac:dyDescent="0.25">
      <c r="A73" s="84"/>
      <c r="B73" s="84"/>
      <c r="C73" s="84"/>
      <c r="D73" s="50" t="s">
        <v>135</v>
      </c>
      <c r="E73" s="103">
        <f>1/96</f>
        <v>1.0416666666666666E-2</v>
      </c>
      <c r="F73" s="14" t="s">
        <v>39</v>
      </c>
      <c r="G73" s="14">
        <v>15</v>
      </c>
      <c r="H73" s="71">
        <f t="shared" si="10"/>
        <v>0.15625</v>
      </c>
      <c r="I73" s="84">
        <f t="shared" si="6"/>
        <v>0.11197916666666666</v>
      </c>
      <c r="J73" s="84">
        <f t="shared" si="7"/>
        <v>0.5151052517361111</v>
      </c>
    </row>
    <row r="74" spans="1:10" outlineLevel="1" x14ac:dyDescent="0.25">
      <c r="A74" s="84"/>
      <c r="B74" s="84"/>
      <c r="C74" s="84"/>
      <c r="D74" s="50" t="s">
        <v>136</v>
      </c>
      <c r="E74" s="103">
        <f t="shared" si="9"/>
        <v>1.0416666666666666E-2</v>
      </c>
      <c r="F74" s="14" t="s">
        <v>39</v>
      </c>
      <c r="G74" s="14">
        <v>15</v>
      </c>
      <c r="H74" s="71">
        <f t="shared" si="10"/>
        <v>0.15625</v>
      </c>
      <c r="I74" s="84">
        <f t="shared" si="6"/>
        <v>0.11197916666666666</v>
      </c>
      <c r="J74" s="84">
        <f t="shared" si="7"/>
        <v>0.280947265625</v>
      </c>
    </row>
    <row r="75" spans="1:10" outlineLevel="1" x14ac:dyDescent="0.25">
      <c r="A75" s="84"/>
      <c r="B75" s="84"/>
      <c r="C75" s="84"/>
      <c r="D75" s="50" t="s">
        <v>137</v>
      </c>
      <c r="E75" s="103">
        <f t="shared" si="9"/>
        <v>1.0416666666666666E-2</v>
      </c>
      <c r="F75" s="14" t="s">
        <v>39</v>
      </c>
      <c r="G75" s="14">
        <v>4.9000000000000004</v>
      </c>
      <c r="H75" s="71">
        <f t="shared" si="10"/>
        <v>5.1041666666666666E-2</v>
      </c>
      <c r="I75" s="84">
        <f t="shared" si="6"/>
        <v>0.11197916666666666</v>
      </c>
      <c r="J75" s="84">
        <f t="shared" si="7"/>
        <v>0.27931966145833337</v>
      </c>
    </row>
    <row r="76" spans="1:10" outlineLevel="1" x14ac:dyDescent="0.25">
      <c r="A76" s="84"/>
      <c r="B76" s="84"/>
      <c r="C76" s="84"/>
      <c r="D76" s="50" t="s">
        <v>138</v>
      </c>
      <c r="E76" s="103">
        <f>1/96</f>
        <v>1.0416666666666666E-2</v>
      </c>
      <c r="F76" s="14" t="s">
        <v>39</v>
      </c>
      <c r="G76" s="14">
        <v>453.32</v>
      </c>
      <c r="H76" s="71">
        <f t="shared" si="10"/>
        <v>4.722083333333333</v>
      </c>
      <c r="I76" s="84">
        <f t="shared" si="6"/>
        <v>0.11197916666666666</v>
      </c>
      <c r="J76" s="84">
        <f t="shared" si="7"/>
        <v>0.27769205729166668</v>
      </c>
    </row>
    <row r="77" spans="1:10" outlineLevel="1" x14ac:dyDescent="0.25">
      <c r="A77" s="84"/>
      <c r="B77" s="84"/>
      <c r="C77" s="84"/>
      <c r="D77" s="50" t="s">
        <v>139</v>
      </c>
      <c r="E77" s="103">
        <f>1/96</f>
        <v>1.0416666666666666E-2</v>
      </c>
      <c r="F77" s="14" t="s">
        <v>39</v>
      </c>
      <c r="G77" s="110">
        <v>1713</v>
      </c>
      <c r="H77" s="71">
        <f t="shared" si="10"/>
        <v>17.84375</v>
      </c>
      <c r="I77" s="84">
        <f t="shared" si="6"/>
        <v>0.11197916666666666</v>
      </c>
      <c r="J77" s="84">
        <f t="shared" si="7"/>
        <v>0.27716037326388893</v>
      </c>
    </row>
    <row r="78" spans="1:10" outlineLevel="1" x14ac:dyDescent="0.25">
      <c r="A78" s="84"/>
      <c r="B78" s="84"/>
      <c r="C78" s="84"/>
      <c r="D78" s="50" t="s">
        <v>140</v>
      </c>
      <c r="E78" s="103">
        <f>1/96</f>
        <v>1.0416666666666666E-2</v>
      </c>
      <c r="F78" s="14" t="s">
        <v>38</v>
      </c>
      <c r="G78" s="14">
        <v>10.75</v>
      </c>
      <c r="H78" s="71">
        <f t="shared" si="10"/>
        <v>0.11197916666666666</v>
      </c>
      <c r="I78" s="84">
        <f t="shared" si="6"/>
        <v>0.11197916666666666</v>
      </c>
      <c r="J78" s="84">
        <f t="shared" si="7"/>
        <v>0.22797200520833336</v>
      </c>
    </row>
    <row r="79" spans="1:10" outlineLevel="1" x14ac:dyDescent="0.25">
      <c r="A79" s="84"/>
      <c r="B79" s="84"/>
      <c r="C79" s="84"/>
      <c r="D79" s="106" t="s">
        <v>141</v>
      </c>
      <c r="E79" s="103">
        <f>1/96</f>
        <v>1.0416666666666666E-2</v>
      </c>
      <c r="F79" s="14" t="s">
        <v>39</v>
      </c>
      <c r="G79" s="105">
        <v>100</v>
      </c>
      <c r="H79" s="71">
        <f t="shared" si="10"/>
        <v>1.0416666666666665</v>
      </c>
      <c r="I79" s="84">
        <f>SUMIFS(H78:H104,F78:F104,"Sim")</f>
        <v>0.11197916666666666</v>
      </c>
      <c r="J79" s="84">
        <f t="shared" si="7"/>
        <v>4.2099609375000006E-2</v>
      </c>
    </row>
    <row r="80" spans="1:10" outlineLevel="1" x14ac:dyDescent="0.25">
      <c r="A80" s="84"/>
      <c r="B80" s="84"/>
      <c r="C80" s="84"/>
      <c r="D80" s="106" t="s">
        <v>142</v>
      </c>
      <c r="E80" s="103">
        <f>96/96</f>
        <v>1</v>
      </c>
      <c r="F80" s="14" t="s">
        <v>39</v>
      </c>
      <c r="G80" s="105">
        <v>0.92</v>
      </c>
      <c r="H80" s="71">
        <f t="shared" si="10"/>
        <v>0.92</v>
      </c>
      <c r="I80" s="84">
        <f t="shared" si="6"/>
        <v>0</v>
      </c>
      <c r="J80" s="84">
        <f t="shared" si="7"/>
        <v>4.0933159722222223E-2</v>
      </c>
    </row>
    <row r="81" spans="1:10" outlineLevel="1" x14ac:dyDescent="0.25">
      <c r="A81" s="84"/>
      <c r="B81" s="84"/>
      <c r="C81" s="84"/>
      <c r="D81" s="106" t="s">
        <v>143</v>
      </c>
      <c r="E81" s="103">
        <f>1/96</f>
        <v>1.0416666666666666E-2</v>
      </c>
      <c r="F81" s="14" t="s">
        <v>39</v>
      </c>
      <c r="G81" s="105">
        <v>26</v>
      </c>
      <c r="H81" s="71">
        <f t="shared" si="10"/>
        <v>0.27083333333333331</v>
      </c>
      <c r="I81" s="84">
        <f t="shared" si="6"/>
        <v>0</v>
      </c>
      <c r="J81" s="84">
        <f t="shared" si="7"/>
        <v>3.0082465277777779E-2</v>
      </c>
    </row>
    <row r="82" spans="1:10" outlineLevel="1" x14ac:dyDescent="0.25">
      <c r="A82" s="84"/>
      <c r="B82" s="84"/>
      <c r="C82" s="84"/>
      <c r="D82" s="106" t="s">
        <v>144</v>
      </c>
      <c r="E82" s="103">
        <f t="shared" si="9"/>
        <v>1.0416666666666666E-2</v>
      </c>
      <c r="F82" s="14" t="s">
        <v>39</v>
      </c>
      <c r="G82" s="105">
        <v>150</v>
      </c>
      <c r="H82" s="71">
        <f t="shared" si="10"/>
        <v>1.5625</v>
      </c>
      <c r="I82" s="84">
        <f t="shared" si="6"/>
        <v>0</v>
      </c>
      <c r="J82" s="84">
        <f t="shared" si="7"/>
        <v>2.0499131944444443E-2</v>
      </c>
    </row>
    <row r="83" spans="1:10" outlineLevel="1" x14ac:dyDescent="0.25">
      <c r="A83" s="84"/>
      <c r="B83" s="84"/>
      <c r="C83" s="84"/>
      <c r="D83" s="106" t="s">
        <v>145</v>
      </c>
      <c r="E83" s="103">
        <f t="shared" si="9"/>
        <v>1.0416666666666666E-2</v>
      </c>
      <c r="F83" s="14" t="s">
        <v>39</v>
      </c>
      <c r="G83" s="105">
        <v>10</v>
      </c>
      <c r="H83" s="71">
        <f t="shared" si="10"/>
        <v>0.10416666666666666</v>
      </c>
      <c r="I83" s="84">
        <f t="shared" si="6"/>
        <v>0</v>
      </c>
      <c r="J83" s="84">
        <f t="shared" si="7"/>
        <v>1.7677951388888887E-2</v>
      </c>
    </row>
    <row r="84" spans="1:10" outlineLevel="1" x14ac:dyDescent="0.25">
      <c r="A84" s="84"/>
      <c r="B84" s="84"/>
      <c r="C84" s="84"/>
      <c r="D84" s="51" t="s">
        <v>146</v>
      </c>
      <c r="E84" s="103">
        <f>1/96</f>
        <v>1.0416666666666666E-2</v>
      </c>
      <c r="F84" s="14" t="s">
        <v>39</v>
      </c>
      <c r="G84" s="20">
        <v>2</v>
      </c>
      <c r="H84" s="71">
        <f t="shared" si="10"/>
        <v>2.0833333333333332E-2</v>
      </c>
      <c r="I84" s="84">
        <f t="shared" si="6"/>
        <v>0</v>
      </c>
      <c r="J84" s="84">
        <f t="shared" si="7"/>
        <v>1.4019097222222221E-3</v>
      </c>
    </row>
    <row r="85" spans="1:10" outlineLevel="1" x14ac:dyDescent="0.25">
      <c r="A85" s="84"/>
      <c r="B85" s="84"/>
      <c r="C85" s="84"/>
      <c r="D85" s="51" t="s">
        <v>147</v>
      </c>
      <c r="E85" s="103">
        <f t="shared" si="9"/>
        <v>1.0416666666666666E-2</v>
      </c>
      <c r="F85" s="14" t="s">
        <v>39</v>
      </c>
      <c r="G85" s="20">
        <v>0.92</v>
      </c>
      <c r="H85" s="71">
        <f t="shared" si="10"/>
        <v>9.5833333333333326E-3</v>
      </c>
      <c r="I85" s="84">
        <f t="shared" si="6"/>
        <v>0</v>
      </c>
      <c r="J85" s="84">
        <f t="shared" si="7"/>
        <v>3.1684027777777776E-4</v>
      </c>
    </row>
    <row r="86" spans="1:10" outlineLevel="1" x14ac:dyDescent="0.25"/>
    <row r="87" spans="1:10" ht="75" outlineLevel="1" x14ac:dyDescent="0.25">
      <c r="A87" s="53" t="str">
        <f>CONCATENATE("Custo de ",D87," deve ser considerado?")</f>
        <v>Custo de Infraestrutura (Despesas Condominiais) deve ser considerado?</v>
      </c>
      <c r="B87" s="53" t="str">
        <f>CONCATENATE("Custo de ",D87," deve ser considerado?")</f>
        <v>Custo de Infraestrutura (Despesas Condominiais) deve ser considerado?</v>
      </c>
      <c r="C87" s="53" t="str">
        <f>CONCATENATE("Custo de ",D87," deve ser considerado?")</f>
        <v>Custo de Infraestrutura (Despesas Condominiais) deve ser considerado?</v>
      </c>
      <c r="D87" s="44" t="s">
        <v>77</v>
      </c>
      <c r="E87" s="44" t="s">
        <v>15</v>
      </c>
      <c r="F87" s="44" t="s">
        <v>89</v>
      </c>
      <c r="G87" s="44" t="s">
        <v>22</v>
      </c>
      <c r="H87" s="44" t="s">
        <v>21</v>
      </c>
      <c r="I87" s="53" t="str">
        <f>CONCATENATE("Custo marginal por ",$B$7," (R$)")</f>
        <v>Custo marginal por Amostras/placa de 96 poços (R$)</v>
      </c>
      <c r="J87" s="53" t="str">
        <f>CONCATENATE("Custo total por ",$B$7," (R$)")</f>
        <v>Custo total por Amostras/placa de 96 poços (R$)</v>
      </c>
    </row>
    <row r="88" spans="1:10" outlineLevel="1" x14ac:dyDescent="0.25">
      <c r="A88" s="47" t="s">
        <v>39</v>
      </c>
      <c r="B88" s="47" t="s">
        <v>39</v>
      </c>
      <c r="C88" s="47" t="s">
        <v>39</v>
      </c>
      <c r="D88" s="101" t="s">
        <v>102</v>
      </c>
      <c r="E88" s="19"/>
      <c r="F88" s="14" t="s">
        <v>39</v>
      </c>
      <c r="G88" s="19"/>
      <c r="H88" s="71">
        <f>IFERROR(G88*E88,"")</f>
        <v>0</v>
      </c>
      <c r="I88" s="72">
        <f>SUMIFS(H88:H92,F88:F92,"Sim")</f>
        <v>0</v>
      </c>
      <c r="J88" s="69">
        <f>IFERROR(SUM(H88:H92)/$B$9,"")</f>
        <v>0</v>
      </c>
    </row>
    <row r="89" spans="1:10" outlineLevel="1" x14ac:dyDescent="0.25">
      <c r="A89" s="84"/>
      <c r="B89" s="84"/>
      <c r="C89" s="84"/>
      <c r="D89" s="50"/>
      <c r="E89" s="15"/>
      <c r="F89" s="14" t="s">
        <v>39</v>
      </c>
      <c r="G89" s="15"/>
      <c r="H89" s="71">
        <f>IFERROR(G89*E89,"")</f>
        <v>0</v>
      </c>
      <c r="I89" s="74"/>
      <c r="J89" s="73"/>
    </row>
    <row r="90" spans="1:10" outlineLevel="1" x14ac:dyDescent="0.25">
      <c r="A90" s="84"/>
      <c r="B90" s="84"/>
      <c r="C90" s="84"/>
      <c r="D90" s="50"/>
      <c r="E90" s="15"/>
      <c r="F90" s="14" t="s">
        <v>39</v>
      </c>
      <c r="G90" s="15"/>
      <c r="H90" s="71">
        <f>IFERROR(G90*E90,"")</f>
        <v>0</v>
      </c>
      <c r="I90" s="74"/>
      <c r="J90" s="73"/>
    </row>
    <row r="91" spans="1:10" outlineLevel="1" x14ac:dyDescent="0.25">
      <c r="A91" s="84"/>
      <c r="B91" s="84"/>
      <c r="C91" s="84"/>
      <c r="D91" s="50"/>
      <c r="E91" s="15"/>
      <c r="F91" s="14" t="s">
        <v>39</v>
      </c>
      <c r="G91" s="15"/>
      <c r="H91" s="71">
        <f>IFERROR(G91*E91,"")</f>
        <v>0</v>
      </c>
      <c r="I91" s="74"/>
      <c r="J91" s="73"/>
    </row>
    <row r="92" spans="1:10" outlineLevel="1" x14ac:dyDescent="0.25">
      <c r="A92" s="84"/>
      <c r="B92" s="84"/>
      <c r="C92" s="84"/>
      <c r="D92" s="51"/>
      <c r="E92" s="16"/>
      <c r="F92" s="76" t="s">
        <v>39</v>
      </c>
      <c r="G92" s="16"/>
      <c r="H92" s="71">
        <f>IFERROR(G92*E92,"")</f>
        <v>0</v>
      </c>
      <c r="I92" s="77"/>
      <c r="J92" s="75"/>
    </row>
    <row r="93" spans="1:10" outlineLevel="1" x14ac:dyDescent="0.25"/>
    <row r="94" spans="1:10" ht="45" outlineLevel="1" x14ac:dyDescent="0.25">
      <c r="A94" s="53" t="str">
        <f>CONCATENATE("Custo de ",D94," deve ser considerado?")</f>
        <v>Custo de Serviços de terceiros deve ser considerado?</v>
      </c>
      <c r="B94" s="53" t="str">
        <f>CONCATENATE("Custo de ",D94," deve ser considerado?")</f>
        <v>Custo de Serviços de terceiros deve ser considerado?</v>
      </c>
      <c r="C94" s="53" t="str">
        <f>CONCATENATE("Custo de ",D94," deve ser considerado?")</f>
        <v>Custo de Serviços de terceiros deve ser considerado?</v>
      </c>
      <c r="D94" s="44" t="s">
        <v>36</v>
      </c>
      <c r="E94" s="44" t="s">
        <v>15</v>
      </c>
      <c r="F94" s="44" t="s">
        <v>89</v>
      </c>
      <c r="G94" s="44" t="s">
        <v>22</v>
      </c>
      <c r="H94" s="44" t="s">
        <v>21</v>
      </c>
      <c r="I94" s="53" t="str">
        <f>CONCATENATE("Custo marginal por ",$B$7," (R$)")</f>
        <v>Custo marginal por Amostras/placa de 96 poços (R$)</v>
      </c>
      <c r="J94" s="53" t="str">
        <f>CONCATENATE("Custo total por ",$B$7," (R$)")</f>
        <v>Custo total por Amostras/placa de 96 poços (R$)</v>
      </c>
    </row>
    <row r="95" spans="1:10" outlineLevel="1" x14ac:dyDescent="0.25">
      <c r="A95" s="47" t="s">
        <v>39</v>
      </c>
      <c r="B95" s="47" t="s">
        <v>39</v>
      </c>
      <c r="C95" s="47" t="s">
        <v>39</v>
      </c>
      <c r="D95" s="52" t="s">
        <v>102</v>
      </c>
      <c r="E95" s="19"/>
      <c r="F95" s="14" t="s">
        <v>39</v>
      </c>
      <c r="G95" s="19"/>
      <c r="H95" s="71">
        <f>IFERROR(G95*E95,"")</f>
        <v>0</v>
      </c>
      <c r="I95" s="72">
        <f>SUMIFS(H95:H99,F95:F99,"Sim")</f>
        <v>0</v>
      </c>
      <c r="J95" s="69">
        <f>IFERROR(SUM(H95:H99)/$B$9,"")</f>
        <v>0</v>
      </c>
    </row>
    <row r="96" spans="1:10" outlineLevel="1" x14ac:dyDescent="0.25">
      <c r="A96" s="84"/>
      <c r="B96" s="84"/>
      <c r="C96" s="84"/>
      <c r="D96" s="50"/>
      <c r="E96" s="15"/>
      <c r="F96" s="14" t="s">
        <v>39</v>
      </c>
      <c r="G96" s="15"/>
      <c r="H96" s="71">
        <f>IFERROR(G96*E96,"")</f>
        <v>0</v>
      </c>
      <c r="I96" s="74"/>
      <c r="J96" s="73"/>
    </row>
    <row r="97" spans="1:10" outlineLevel="1" x14ac:dyDescent="0.25">
      <c r="A97" s="84"/>
      <c r="B97" s="84"/>
      <c r="C97" s="84"/>
      <c r="D97" s="50"/>
      <c r="E97" s="15"/>
      <c r="F97" s="14" t="s">
        <v>39</v>
      </c>
      <c r="G97" s="15"/>
      <c r="H97" s="71">
        <f>IFERROR(G97*E97,"")</f>
        <v>0</v>
      </c>
      <c r="I97" s="74"/>
      <c r="J97" s="73"/>
    </row>
    <row r="98" spans="1:10" outlineLevel="1" x14ac:dyDescent="0.25">
      <c r="A98" s="84"/>
      <c r="B98" s="84"/>
      <c r="C98" s="84"/>
      <c r="D98" s="50"/>
      <c r="E98" s="15"/>
      <c r="F98" s="14" t="s">
        <v>39</v>
      </c>
      <c r="G98" s="15"/>
      <c r="H98" s="71">
        <f>IFERROR(G98*E98,"")</f>
        <v>0</v>
      </c>
      <c r="I98" s="74"/>
      <c r="J98" s="73"/>
    </row>
    <row r="99" spans="1:10" outlineLevel="1" x14ac:dyDescent="0.25">
      <c r="A99" s="84"/>
      <c r="B99" s="84"/>
      <c r="C99" s="84"/>
      <c r="D99" s="51"/>
      <c r="E99" s="16"/>
      <c r="F99" s="76" t="s">
        <v>39</v>
      </c>
      <c r="G99" s="16"/>
      <c r="H99" s="71">
        <f>IFERROR(G99*E99,"")</f>
        <v>0</v>
      </c>
      <c r="I99" s="77"/>
      <c r="J99" s="75"/>
    </row>
    <row r="100" spans="1:10" outlineLevel="1" x14ac:dyDescent="0.25"/>
    <row r="101" spans="1:10" ht="45" outlineLevel="1" x14ac:dyDescent="0.25">
      <c r="A101" s="53" t="str">
        <f>CONCATENATE("Custo de ",D101," deve ser considerado?")</f>
        <v>Custo de Outros deve ser considerado?</v>
      </c>
      <c r="B101" s="53" t="str">
        <f>CONCATENATE("Custo de ",D101," deve ser considerado?")</f>
        <v>Custo de Outros deve ser considerado?</v>
      </c>
      <c r="C101" s="53" t="str">
        <f>CONCATENATE("Custo de ",D101," deve ser considerado?")</f>
        <v>Custo de Outros deve ser considerado?</v>
      </c>
      <c r="D101" s="44" t="s">
        <v>62</v>
      </c>
      <c r="E101" s="44" t="s">
        <v>15</v>
      </c>
      <c r="F101" s="44" t="s">
        <v>89</v>
      </c>
      <c r="G101" s="44" t="s">
        <v>22</v>
      </c>
      <c r="H101" s="44" t="s">
        <v>21</v>
      </c>
      <c r="I101" s="53" t="str">
        <f>CONCATENATE("Custo marginal por ",$B$7," (R$)")</f>
        <v>Custo marginal por Amostras/placa de 96 poços (R$)</v>
      </c>
      <c r="J101" s="53" t="str">
        <f>CONCATENATE("Custo total por ",$B$7," (R$)")</f>
        <v>Custo total por Amostras/placa de 96 poços (R$)</v>
      </c>
    </row>
    <row r="102" spans="1:10" outlineLevel="1" x14ac:dyDescent="0.25">
      <c r="A102" s="47" t="s">
        <v>39</v>
      </c>
      <c r="B102" s="47" t="s">
        <v>39</v>
      </c>
      <c r="C102" s="47" t="s">
        <v>39</v>
      </c>
      <c r="D102" s="52" t="s">
        <v>39</v>
      </c>
      <c r="E102" s="19"/>
      <c r="F102" s="14" t="s">
        <v>39</v>
      </c>
      <c r="G102" s="19"/>
      <c r="H102" s="71">
        <f>IFERROR(G102*E102,"")</f>
        <v>0</v>
      </c>
      <c r="I102" s="72">
        <f>SUMIFS(H102:H106,F102:F106,"Sim")</f>
        <v>0</v>
      </c>
      <c r="J102" s="69">
        <f>IFERROR(SUM(H102:H106)/$B$9,"")</f>
        <v>0</v>
      </c>
    </row>
    <row r="103" spans="1:10" outlineLevel="1" x14ac:dyDescent="0.25">
      <c r="A103" s="84"/>
      <c r="B103" s="84"/>
      <c r="C103" s="84"/>
      <c r="D103" s="50"/>
      <c r="E103" s="15"/>
      <c r="F103" s="14" t="s">
        <v>39</v>
      </c>
      <c r="G103" s="15"/>
      <c r="H103" s="71">
        <f>IFERROR(G103*E103,"")</f>
        <v>0</v>
      </c>
      <c r="I103" s="74"/>
      <c r="J103" s="73"/>
    </row>
    <row r="104" spans="1:10" outlineLevel="1" x14ac:dyDescent="0.25">
      <c r="A104" s="84"/>
      <c r="B104" s="84"/>
      <c r="C104" s="84"/>
      <c r="D104" s="50"/>
      <c r="E104" s="15"/>
      <c r="F104" s="14" t="s">
        <v>39</v>
      </c>
      <c r="G104" s="15"/>
      <c r="H104" s="71">
        <f>IFERROR(G104*E104,"")</f>
        <v>0</v>
      </c>
      <c r="I104" s="74"/>
      <c r="J104" s="73"/>
    </row>
    <row r="105" spans="1:10" outlineLevel="1" x14ac:dyDescent="0.25">
      <c r="A105" s="84"/>
      <c r="B105" s="84"/>
      <c r="C105" s="84"/>
      <c r="D105" s="50"/>
      <c r="E105" s="15"/>
      <c r="F105" s="14" t="s">
        <v>39</v>
      </c>
      <c r="G105" s="15"/>
      <c r="H105" s="71">
        <f>IFERROR(G105*E105,"")</f>
        <v>0</v>
      </c>
      <c r="I105" s="74"/>
      <c r="J105" s="73"/>
    </row>
    <row r="106" spans="1:10" outlineLevel="1" x14ac:dyDescent="0.25">
      <c r="A106" s="84"/>
      <c r="B106" s="84"/>
      <c r="C106" s="84"/>
      <c r="D106" s="51"/>
      <c r="E106" s="16"/>
      <c r="F106" s="76" t="s">
        <v>39</v>
      </c>
      <c r="G106" s="16"/>
      <c r="H106" s="71">
        <f>IFERROR(G106*E106,"")</f>
        <v>0</v>
      </c>
      <c r="I106" s="77"/>
      <c r="J106" s="75"/>
    </row>
    <row r="108" spans="1:10" ht="20.25" customHeight="1" x14ac:dyDescent="0.25">
      <c r="A108" s="78" t="s">
        <v>48</v>
      </c>
      <c r="B108" s="79"/>
      <c r="C108" s="79"/>
      <c r="D108" s="79"/>
      <c r="E108" s="79"/>
      <c r="F108" s="79"/>
      <c r="G108" s="79"/>
      <c r="H108" s="79"/>
      <c r="I108" s="79"/>
      <c r="J108" s="79"/>
    </row>
    <row r="109" spans="1:10" ht="9.75" customHeight="1" outlineLevel="1" x14ac:dyDescent="0.25"/>
    <row r="110" spans="1:10" ht="15.75" outlineLevel="1" x14ac:dyDescent="0.25">
      <c r="A110" s="24" t="str">
        <f>CONCATENATE("Custo total para a elaboração de 1 ",B7)</f>
        <v>Custo total para a elaboração de 1 Amostras/placa de 96 poços</v>
      </c>
      <c r="B110" s="21"/>
      <c r="D110" s="80">
        <f>SUM(J37+K44+J59+J88+J95+J102)</f>
        <v>0.61063797353543436</v>
      </c>
      <c r="E110" s="81"/>
    </row>
    <row r="111" spans="1:10" outlineLevel="1" x14ac:dyDescent="0.25">
      <c r="A111" s="22"/>
      <c r="B111" s="21"/>
    </row>
    <row r="112" spans="1:10" ht="15.75" outlineLevel="1" x14ac:dyDescent="0.25">
      <c r="A112" s="24" t="str">
        <f>CONCATENATE("Custo marginal para a elaboração de 1 ",B7)</f>
        <v>Custo marginal para a elaboração de 1 Amostras/placa de 96 poços</v>
      </c>
      <c r="B112" s="21"/>
      <c r="D112" s="80">
        <f>SUM(I37,J44,I59,I88,I95,I102)</f>
        <v>1.915221306868768</v>
      </c>
    </row>
    <row r="113" spans="1:7" outlineLevel="1" x14ac:dyDescent="0.25">
      <c r="A113" s="22"/>
      <c r="B113" s="21"/>
    </row>
    <row r="114" spans="1:7" outlineLevel="1" x14ac:dyDescent="0.25">
      <c r="A114" s="22"/>
      <c r="B114" s="21"/>
    </row>
    <row r="115" spans="1:7" ht="33" customHeight="1" outlineLevel="1" x14ac:dyDescent="0.25">
      <c r="A115" s="23" t="s">
        <v>65</v>
      </c>
      <c r="B115" s="21"/>
      <c r="D115" s="67" t="s">
        <v>60</v>
      </c>
      <c r="E115" s="67" t="str">
        <f>B34</f>
        <v>Cliente externo - Instituição Pública</v>
      </c>
      <c r="F115" s="67" t="s">
        <v>61</v>
      </c>
    </row>
    <row r="116" spans="1:7" outlineLevel="1" x14ac:dyDescent="0.25">
      <c r="A116" s="22"/>
      <c r="B116" s="21"/>
    </row>
    <row r="117" spans="1:7" ht="15.75" outlineLevel="1" x14ac:dyDescent="0.25">
      <c r="A117" s="23" t="s">
        <v>63</v>
      </c>
      <c r="B117" s="21"/>
      <c r="D117" s="80">
        <f>IF(A37="Sim",$J$37,0)+IF(A44="Sim",$K$44,0)+IF(A59="Sim",$J$59,0)+IF(A88="Sim",$J$88,0)+IF(A95="Sim",$J$95,0)+IF(A102="Sim",$J$102,0)</f>
        <v>0.61063797353543436</v>
      </c>
      <c r="E117" s="80">
        <f>IF(B37="Sim",$J$37,0)+IF(B44="Sim",$K$44,0)+IF(B59="Sim",$J$59,0)+IF(B88="Sim",$J$88,0)+IF(B95="Sim",$J$95,0)+IF(B102="Sim",$J$102,0)</f>
        <v>0.61063797353543436</v>
      </c>
      <c r="F117" s="80">
        <f>IF(C37="Sim",$J$37,0)+IF(C44="Sim",$K$44,0)+IF(C59="Sim",$J$59,0)+IF(C88="Sim",$J$88,0)+IF(C95="Sim",$J$95,0)+IF(C102="Sim",$J$102,0)</f>
        <v>0.61063797353543436</v>
      </c>
    </row>
    <row r="118" spans="1:7" outlineLevel="1" x14ac:dyDescent="0.25">
      <c r="A118" s="22"/>
      <c r="B118" s="21"/>
    </row>
    <row r="119" spans="1:7" ht="15.75" outlineLevel="1" x14ac:dyDescent="0.25">
      <c r="A119" s="23" t="s">
        <v>81</v>
      </c>
      <c r="B119" s="21"/>
      <c r="D119" s="40">
        <v>0</v>
      </c>
      <c r="E119" s="40">
        <v>0.15</v>
      </c>
      <c r="F119" s="40">
        <v>0.3</v>
      </c>
      <c r="G119" s="81"/>
    </row>
    <row r="120" spans="1:7" outlineLevel="1" x14ac:dyDescent="0.25">
      <c r="A120" s="22"/>
      <c r="B120" s="21"/>
    </row>
    <row r="121" spans="1:7" ht="15.75" outlineLevel="1" x14ac:dyDescent="0.25">
      <c r="A121" s="24" t="s">
        <v>82</v>
      </c>
      <c r="B121" s="21"/>
      <c r="D121" s="80">
        <f>$D$110*D119</f>
        <v>0</v>
      </c>
      <c r="E121" s="80">
        <f t="shared" ref="E121:F121" si="11">$D$110*E119</f>
        <v>9.1595696030315157E-2</v>
      </c>
      <c r="F121" s="80">
        <f t="shared" si="11"/>
        <v>0.18319139206063031</v>
      </c>
    </row>
    <row r="122" spans="1:7" outlineLevel="1" x14ac:dyDescent="0.25">
      <c r="A122" s="22"/>
      <c r="B122" s="21"/>
    </row>
    <row r="123" spans="1:7" ht="15.75" outlineLevel="1" x14ac:dyDescent="0.25">
      <c r="A123" s="23" t="s">
        <v>64</v>
      </c>
      <c r="B123" s="21"/>
      <c r="D123" s="80">
        <f>D117+D121</f>
        <v>0.61063797353543436</v>
      </c>
      <c r="E123" s="80">
        <f t="shared" ref="E123:F123" si="12">E117+E121</f>
        <v>0.70223366956574951</v>
      </c>
      <c r="F123" s="80">
        <f t="shared" si="12"/>
        <v>0.79382936559606465</v>
      </c>
    </row>
    <row r="124" spans="1:7" ht="15.75" outlineLevel="1" x14ac:dyDescent="0.25">
      <c r="A124" s="23"/>
      <c r="B124" s="21"/>
    </row>
    <row r="125" spans="1:7" ht="15.75" outlineLevel="1" x14ac:dyDescent="0.25">
      <c r="A125" s="23" t="s">
        <v>66</v>
      </c>
      <c r="B125" s="21"/>
      <c r="D125" s="80">
        <f>$B$28</f>
        <v>10</v>
      </c>
      <c r="E125" s="80">
        <f>$B$28</f>
        <v>10</v>
      </c>
      <c r="F125" s="80">
        <f>$B$28</f>
        <v>10</v>
      </c>
    </row>
    <row r="126" spans="1:7" ht="15.75" outlineLevel="1" x14ac:dyDescent="0.25">
      <c r="A126" s="23"/>
      <c r="B126" s="21"/>
    </row>
    <row r="127" spans="1:7" ht="15.75" outlineLevel="1" x14ac:dyDescent="0.25">
      <c r="A127" s="23" t="s">
        <v>91</v>
      </c>
      <c r="B127" s="21"/>
      <c r="D127" s="82">
        <f>(D125-D123)/D125</f>
        <v>0.93893620264645661</v>
      </c>
      <c r="E127" s="82">
        <f>(E125-E123)/E125</f>
        <v>0.92977663304342495</v>
      </c>
      <c r="F127" s="82">
        <f>(F125-F123)/F125</f>
        <v>0.92061706344039362</v>
      </c>
    </row>
    <row r="128" spans="1:7" outlineLevel="1" x14ac:dyDescent="0.25">
      <c r="A128" s="22"/>
      <c r="B128" s="21"/>
    </row>
    <row r="129" spans="1:7" ht="15.75" outlineLevel="1" x14ac:dyDescent="0.25">
      <c r="A129" s="23" t="s">
        <v>67</v>
      </c>
      <c r="B129" s="21"/>
      <c r="D129" s="39">
        <v>0</v>
      </c>
      <c r="E129" s="39">
        <v>0.2</v>
      </c>
      <c r="F129" s="39">
        <v>0.3</v>
      </c>
      <c r="G129" s="83"/>
    </row>
    <row r="130" spans="1:7" outlineLevel="1" x14ac:dyDescent="0.25">
      <c r="A130" s="22"/>
      <c r="B130" s="21"/>
    </row>
    <row r="131" spans="1:7" ht="15.75" outlineLevel="1" x14ac:dyDescent="0.25">
      <c r="A131" s="23" t="s">
        <v>68</v>
      </c>
      <c r="B131" s="21"/>
      <c r="D131" s="80">
        <f>D123/(1-D129)</f>
        <v>0.61063797353543436</v>
      </c>
      <c r="E131" s="80">
        <f>E123/(1-E129)</f>
        <v>0.8777920869571868</v>
      </c>
      <c r="F131" s="80">
        <f>F123/(1-F129)</f>
        <v>1.1340419508515209</v>
      </c>
    </row>
    <row r="132" spans="1:7" outlineLevel="1" x14ac:dyDescent="0.25">
      <c r="A132" s="22"/>
      <c r="B132" s="21"/>
    </row>
    <row r="133" spans="1:7" ht="15.75" outlineLevel="1" x14ac:dyDescent="0.25">
      <c r="A133" s="23" t="s">
        <v>69</v>
      </c>
      <c r="B133" s="21"/>
      <c r="D133" s="39" t="s">
        <v>72</v>
      </c>
      <c r="E133" s="39" t="s">
        <v>72</v>
      </c>
      <c r="F133" s="39" t="s">
        <v>71</v>
      </c>
      <c r="G133" s="83"/>
    </row>
    <row r="134" spans="1:7" outlineLevel="1" x14ac:dyDescent="0.25">
      <c r="A134" s="22"/>
      <c r="B134" s="21"/>
    </row>
    <row r="135" spans="1:7" ht="15.75" outlineLevel="1" x14ac:dyDescent="0.25">
      <c r="A135" s="23" t="s">
        <v>70</v>
      </c>
      <c r="B135" s="21"/>
      <c r="D135" s="80">
        <f>IF(D133="Referência de Mercado",D125,D131)</f>
        <v>0.61063797353543436</v>
      </c>
      <c r="E135" s="80">
        <f>IF(E133="Referência de Mercado",E125,E131)</f>
        <v>0.8777920869571868</v>
      </c>
      <c r="F135" s="80">
        <f>IF(F133="Referência de Mercado",F125,F131)</f>
        <v>10</v>
      </c>
    </row>
    <row r="136" spans="1:7" outlineLevel="1" x14ac:dyDescent="0.25">
      <c r="A136" s="22"/>
      <c r="B136" s="21"/>
    </row>
    <row r="137" spans="1:7" ht="15.75" outlineLevel="1" x14ac:dyDescent="0.25">
      <c r="A137" s="23" t="s">
        <v>88</v>
      </c>
      <c r="D137" s="40">
        <v>0</v>
      </c>
      <c r="E137" s="40">
        <v>0</v>
      </c>
      <c r="F137" s="40">
        <v>0</v>
      </c>
    </row>
    <row r="138" spans="1:7" outlineLevel="1" x14ac:dyDescent="0.25"/>
    <row r="139" spans="1:7" ht="15.75" outlineLevel="1" x14ac:dyDescent="0.25">
      <c r="A139" s="23" t="s">
        <v>70</v>
      </c>
      <c r="D139" s="80">
        <f>D135*(1+D137)</f>
        <v>0.61063797353543436</v>
      </c>
      <c r="E139" s="80">
        <f t="shared" ref="E139:F139" si="13">E135*(1+E137)</f>
        <v>0.8777920869571868</v>
      </c>
      <c r="F139" s="80">
        <f t="shared" si="13"/>
        <v>10</v>
      </c>
    </row>
  </sheetData>
  <mergeCells count="2">
    <mergeCell ref="A3:C3"/>
    <mergeCell ref="A4:C4"/>
  </mergeCells>
  <dataValidations count="3">
    <dataValidation type="list" allowBlank="1" showInputMessage="1" showErrorMessage="1" sqref="A28" xr:uid="{00000000-0002-0000-0100-000000000000}">
      <formula1>"Preço médio por unidade vendida, Preço por posicionamento"</formula1>
    </dataValidation>
    <dataValidation type="list" allowBlank="1" showInputMessage="1" showErrorMessage="1" sqref="F102:F106 A59:C59 A37:C37 A44:C44 A88:C88 A95:C95 A102:C102 F37:F41 F95:F99 F88:F92 F59:F85" xr:uid="{00000000-0002-0000-0100-000001000000}">
      <formula1>"Sim, Não"</formula1>
    </dataValidation>
    <dataValidation type="list" allowBlank="1" showInputMessage="1" showErrorMessage="1" sqref="D133:F133" xr:uid="{00000000-0002-0000-0100-000002000000}">
      <formula1>"Referência de Mercado, Custo + Margem"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'Custo de mão de obra'!$B$5:$B$11</xm:f>
          </x14:formula1>
          <xm:sqref>D37:D41</xm:sqref>
        </x14:dataValidation>
        <x14:dataValidation type="list" allowBlank="1" showInputMessage="1" showErrorMessage="1" xr:uid="{00000000-0002-0000-0100-000004000000}">
          <x14:formula1>
            <xm:f>'Custos com equipamentos'!$B$5:$B$16</xm:f>
          </x14:formula1>
          <xm:sqref>D44:D56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55"/>
  <sheetViews>
    <sheetView workbookViewId="0">
      <pane ySplit="4" topLeftCell="A5" activePane="bottomLeft" state="frozen"/>
      <selection pane="bottomLeft" activeCell="C9" sqref="C9"/>
    </sheetView>
  </sheetViews>
  <sheetFormatPr defaultRowHeight="15" x14ac:dyDescent="0.25"/>
  <cols>
    <col min="1" max="1" width="20.42578125" style="3" bestFit="1" customWidth="1"/>
    <col min="2" max="2" width="22.7109375" customWidth="1"/>
    <col min="3" max="3" width="16.7109375" style="3" bestFit="1" customWidth="1"/>
    <col min="4" max="4" width="19.7109375" customWidth="1"/>
    <col min="5" max="6" width="20.28515625" bestFit="1" customWidth="1"/>
    <col min="7" max="13" width="9.140625" style="3"/>
    <col min="14" max="14" width="20.28515625" style="3" bestFit="1" customWidth="1"/>
    <col min="15" max="45" width="9.140625" style="3"/>
  </cols>
  <sheetData>
    <row r="1" spans="1:18" s="3" customFormat="1" x14ac:dyDescent="0.25"/>
    <row r="2" spans="1:18" s="3" customFormat="1" x14ac:dyDescent="0.25"/>
    <row r="3" spans="1:18" s="3" customFormat="1" x14ac:dyDescent="0.25"/>
    <row r="4" spans="1:18" x14ac:dyDescent="0.25">
      <c r="B4" s="8" t="s">
        <v>2</v>
      </c>
      <c r="C4" s="1" t="s">
        <v>4</v>
      </c>
      <c r="D4" s="1" t="s">
        <v>93</v>
      </c>
      <c r="E4" s="1" t="s">
        <v>92</v>
      </c>
      <c r="F4" s="1" t="s">
        <v>3</v>
      </c>
    </row>
    <row r="5" spans="1:18" x14ac:dyDescent="0.25">
      <c r="B5" s="87" t="s">
        <v>5</v>
      </c>
      <c r="C5" s="88">
        <v>0</v>
      </c>
      <c r="D5" s="2">
        <f>C5/(8*22)</f>
        <v>0</v>
      </c>
      <c r="E5" s="2">
        <f>C5/22</f>
        <v>0</v>
      </c>
      <c r="F5" s="2">
        <f t="shared" ref="F5:F11" si="0">C5/4</f>
        <v>0</v>
      </c>
      <c r="N5" s="113"/>
      <c r="O5" s="4"/>
      <c r="P5" s="4"/>
      <c r="Q5" s="4"/>
      <c r="R5" s="4"/>
    </row>
    <row r="6" spans="1:18" x14ac:dyDescent="0.25">
      <c r="B6" s="87" t="s">
        <v>6</v>
      </c>
      <c r="C6" s="88">
        <v>0</v>
      </c>
      <c r="D6" s="2">
        <f t="shared" ref="D6:D11" si="1">C6/(8*22)</f>
        <v>0</v>
      </c>
      <c r="E6" s="2">
        <f t="shared" ref="E6:E11" si="2">C6/22</f>
        <v>0</v>
      </c>
      <c r="F6" s="2">
        <f t="shared" si="0"/>
        <v>0</v>
      </c>
      <c r="N6" s="113"/>
      <c r="O6" s="5"/>
      <c r="P6" s="5"/>
      <c r="Q6" s="5"/>
      <c r="R6" s="5"/>
    </row>
    <row r="7" spans="1:18" x14ac:dyDescent="0.25">
      <c r="B7" s="87" t="s">
        <v>7</v>
      </c>
      <c r="C7" s="88"/>
      <c r="D7" s="2">
        <f t="shared" si="1"/>
        <v>0</v>
      </c>
      <c r="E7" s="2">
        <f t="shared" si="2"/>
        <v>0</v>
      </c>
      <c r="F7" s="2">
        <f t="shared" si="0"/>
        <v>0</v>
      </c>
      <c r="N7" s="6"/>
      <c r="O7" s="7"/>
      <c r="P7" s="7"/>
      <c r="Q7" s="7"/>
      <c r="R7" s="7"/>
    </row>
    <row r="8" spans="1:18" x14ac:dyDescent="0.25">
      <c r="B8" s="87" t="s">
        <v>78</v>
      </c>
      <c r="C8" s="88">
        <v>0</v>
      </c>
      <c r="D8" s="2">
        <f t="shared" si="1"/>
        <v>0</v>
      </c>
      <c r="E8" s="2">
        <f t="shared" si="2"/>
        <v>0</v>
      </c>
      <c r="F8" s="2">
        <f t="shared" si="0"/>
        <v>0</v>
      </c>
      <c r="N8" s="6"/>
      <c r="O8" s="7"/>
      <c r="P8" s="7"/>
      <c r="Q8" s="7"/>
      <c r="R8" s="7"/>
    </row>
    <row r="9" spans="1:18" s="3" customFormat="1" x14ac:dyDescent="0.25">
      <c r="B9" s="87" t="s">
        <v>9</v>
      </c>
      <c r="C9" s="88">
        <v>2365</v>
      </c>
      <c r="D9" s="2">
        <f t="shared" si="1"/>
        <v>13.4375</v>
      </c>
      <c r="E9" s="2">
        <f t="shared" si="2"/>
        <v>107.5</v>
      </c>
      <c r="F9" s="2">
        <f t="shared" si="0"/>
        <v>591.25</v>
      </c>
      <c r="N9" s="6"/>
      <c r="O9" s="7"/>
      <c r="P9" s="7"/>
      <c r="Q9" s="7"/>
      <c r="R9" s="7"/>
    </row>
    <row r="10" spans="1:18" s="3" customFormat="1" x14ac:dyDescent="0.25">
      <c r="B10" s="87" t="s">
        <v>10</v>
      </c>
      <c r="C10" s="88"/>
      <c r="D10" s="2">
        <f t="shared" si="1"/>
        <v>0</v>
      </c>
      <c r="E10" s="2">
        <f t="shared" si="2"/>
        <v>0</v>
      </c>
      <c r="F10" s="2">
        <f t="shared" si="0"/>
        <v>0</v>
      </c>
      <c r="N10" s="6"/>
      <c r="O10" s="7"/>
      <c r="P10" s="7"/>
      <c r="Q10" s="7"/>
      <c r="R10" s="7"/>
    </row>
    <row r="11" spans="1:18" s="3" customFormat="1" x14ac:dyDescent="0.25">
      <c r="B11" s="87" t="s">
        <v>8</v>
      </c>
      <c r="C11" s="88"/>
      <c r="D11" s="2">
        <f t="shared" si="1"/>
        <v>0</v>
      </c>
      <c r="E11" s="2">
        <f t="shared" si="2"/>
        <v>0</v>
      </c>
      <c r="F11" s="2">
        <f t="shared" si="0"/>
        <v>0</v>
      </c>
      <c r="N11" s="6"/>
      <c r="O11" s="7"/>
      <c r="P11" s="7"/>
      <c r="Q11" s="7"/>
      <c r="R11" s="7"/>
    </row>
    <row r="12" spans="1:18" s="3" customFormat="1" x14ac:dyDescent="0.25">
      <c r="B12" s="6"/>
      <c r="C12" s="7"/>
      <c r="D12" s="7"/>
      <c r="E12" s="7"/>
      <c r="F12" s="7"/>
      <c r="N12" s="6"/>
      <c r="O12" s="7"/>
      <c r="P12" s="7"/>
      <c r="Q12" s="7"/>
      <c r="R12" s="7"/>
    </row>
    <row r="13" spans="1:18" s="3" customFormat="1" x14ac:dyDescent="0.25">
      <c r="A13"/>
      <c r="B13" s="6"/>
      <c r="C13" s="7"/>
      <c r="D13" s="7"/>
      <c r="E13" s="7"/>
      <c r="F13" s="7"/>
      <c r="N13" s="6"/>
      <c r="O13" s="7"/>
      <c r="P13" s="7"/>
      <c r="Q13" s="7"/>
      <c r="R13" s="7"/>
    </row>
    <row r="14" spans="1:18" s="3" customFormat="1" x14ac:dyDescent="0.25">
      <c r="B14" s="6"/>
      <c r="C14" s="7"/>
      <c r="D14" s="7"/>
      <c r="E14" s="7"/>
      <c r="F14" s="7"/>
    </row>
    <row r="15" spans="1:18" s="3" customFormat="1" x14ac:dyDescent="0.25">
      <c r="B15" s="6"/>
      <c r="C15" s="7"/>
      <c r="D15" s="7"/>
      <c r="E15" s="7"/>
      <c r="F15" s="7"/>
    </row>
    <row r="16" spans="1:18" s="3" customFormat="1" x14ac:dyDescent="0.25">
      <c r="B16" s="6"/>
      <c r="C16" s="7"/>
      <c r="D16" s="7"/>
      <c r="E16" s="7"/>
      <c r="F16" s="7"/>
    </row>
    <row r="17" spans="2:6" s="3" customFormat="1" x14ac:dyDescent="0.25">
      <c r="B17" s="6"/>
      <c r="C17" s="7"/>
      <c r="D17" s="7"/>
      <c r="E17" s="7"/>
      <c r="F17" s="7"/>
    </row>
    <row r="18" spans="2:6" s="3" customFormat="1" x14ac:dyDescent="0.25">
      <c r="B18" s="6"/>
      <c r="C18" s="7"/>
      <c r="D18" s="7"/>
      <c r="E18" s="7"/>
      <c r="F18" s="7"/>
    </row>
    <row r="19" spans="2:6" s="3" customFormat="1" x14ac:dyDescent="0.25">
      <c r="B19" s="6"/>
      <c r="C19" s="7"/>
      <c r="D19" s="7"/>
      <c r="E19" s="7"/>
      <c r="F19" s="7"/>
    </row>
    <row r="20" spans="2:6" s="3" customFormat="1" x14ac:dyDescent="0.25">
      <c r="B20" s="6"/>
      <c r="C20" s="7"/>
      <c r="D20" s="7"/>
      <c r="E20" s="7"/>
      <c r="F20" s="7"/>
    </row>
    <row r="21" spans="2:6" s="3" customFormat="1" x14ac:dyDescent="0.25">
      <c r="B21" s="6"/>
      <c r="C21" s="7"/>
      <c r="D21" s="7"/>
      <c r="E21" s="7"/>
      <c r="F21" s="7"/>
    </row>
    <row r="22" spans="2:6" s="3" customFormat="1" x14ac:dyDescent="0.25">
      <c r="B22" s="6"/>
      <c r="C22" s="7"/>
      <c r="D22" s="7"/>
      <c r="E22" s="7"/>
      <c r="F22" s="7"/>
    </row>
    <row r="23" spans="2:6" s="3" customFormat="1" x14ac:dyDescent="0.25">
      <c r="B23" s="6"/>
      <c r="C23" s="7"/>
      <c r="D23" s="7"/>
      <c r="E23" s="7"/>
      <c r="F23" s="7"/>
    </row>
    <row r="24" spans="2:6" s="3" customFormat="1" x14ac:dyDescent="0.25">
      <c r="B24" s="6"/>
      <c r="C24" s="7"/>
      <c r="D24" s="7"/>
      <c r="E24" s="7"/>
      <c r="F24" s="7"/>
    </row>
    <row r="25" spans="2:6" s="3" customFormat="1" x14ac:dyDescent="0.25">
      <c r="B25" s="6"/>
      <c r="C25" s="7"/>
      <c r="D25" s="7"/>
      <c r="E25" s="7"/>
      <c r="F25" s="7"/>
    </row>
    <row r="26" spans="2:6" s="3" customFormat="1" x14ac:dyDescent="0.25">
      <c r="B26" s="6"/>
      <c r="C26" s="7"/>
      <c r="D26" s="7"/>
      <c r="E26" s="7"/>
      <c r="F26" s="7"/>
    </row>
    <row r="27" spans="2:6" s="3" customFormat="1" x14ac:dyDescent="0.25">
      <c r="B27" s="6"/>
      <c r="C27" s="7"/>
      <c r="D27" s="7"/>
      <c r="E27" s="7"/>
      <c r="F27" s="7"/>
    </row>
    <row r="28" spans="2:6" s="3" customFormat="1" x14ac:dyDescent="0.25">
      <c r="B28" s="6"/>
      <c r="C28" s="7"/>
      <c r="D28" s="7"/>
      <c r="E28" s="7"/>
      <c r="F28" s="7"/>
    </row>
    <row r="29" spans="2:6" s="3" customFormat="1" x14ac:dyDescent="0.25">
      <c r="B29" s="6"/>
      <c r="C29" s="7"/>
      <c r="D29" s="7"/>
      <c r="E29" s="7"/>
      <c r="F29" s="7"/>
    </row>
    <row r="30" spans="2:6" s="3" customFormat="1" x14ac:dyDescent="0.25">
      <c r="B30" s="6"/>
      <c r="C30" s="7"/>
      <c r="D30" s="7"/>
      <c r="E30" s="7"/>
      <c r="F30" s="7"/>
    </row>
    <row r="31" spans="2:6" s="3" customFormat="1" x14ac:dyDescent="0.25">
      <c r="B31" s="6"/>
      <c r="C31" s="7"/>
      <c r="D31" s="7"/>
      <c r="E31" s="7"/>
      <c r="F31" s="7"/>
    </row>
    <row r="32" spans="2:6" s="3" customFormat="1" x14ac:dyDescent="0.25">
      <c r="B32" s="6"/>
      <c r="C32" s="7"/>
      <c r="D32" s="7"/>
      <c r="E32" s="7"/>
      <c r="F32" s="7"/>
    </row>
    <row r="33" spans="2:6" s="3" customFormat="1" x14ac:dyDescent="0.25">
      <c r="B33" s="6"/>
      <c r="C33" s="7"/>
      <c r="D33" s="7"/>
      <c r="E33" s="7"/>
      <c r="F33" s="7"/>
    </row>
    <row r="34" spans="2:6" s="3" customFormat="1" x14ac:dyDescent="0.25">
      <c r="B34" s="6"/>
      <c r="C34" s="7"/>
      <c r="D34" s="7"/>
      <c r="E34" s="7"/>
      <c r="F34" s="7"/>
    </row>
    <row r="35" spans="2:6" s="3" customFormat="1" x14ac:dyDescent="0.25">
      <c r="B35" s="6"/>
      <c r="C35" s="7"/>
      <c r="D35" s="7"/>
      <c r="E35" s="7"/>
      <c r="F35" s="7"/>
    </row>
    <row r="36" spans="2:6" s="3" customFormat="1" x14ac:dyDescent="0.25">
      <c r="B36" s="6"/>
      <c r="C36" s="7"/>
      <c r="D36" s="7"/>
      <c r="E36" s="7"/>
      <c r="F36" s="7"/>
    </row>
    <row r="37" spans="2:6" s="3" customFormat="1" x14ac:dyDescent="0.25">
      <c r="B37" s="6"/>
      <c r="C37" s="7"/>
      <c r="D37" s="7"/>
      <c r="E37" s="7"/>
      <c r="F37" s="7"/>
    </row>
    <row r="38" spans="2:6" s="3" customFormat="1" x14ac:dyDescent="0.25">
      <c r="B38" s="6"/>
      <c r="C38" s="7"/>
      <c r="D38" s="7"/>
      <c r="E38" s="7"/>
      <c r="F38" s="7"/>
    </row>
    <row r="39" spans="2:6" s="3" customFormat="1" x14ac:dyDescent="0.25">
      <c r="B39" s="6"/>
      <c r="C39" s="7"/>
      <c r="D39" s="7"/>
      <c r="E39" s="7"/>
      <c r="F39" s="7"/>
    </row>
    <row r="40" spans="2:6" s="3" customFormat="1" x14ac:dyDescent="0.25">
      <c r="B40" s="6"/>
      <c r="C40" s="7"/>
      <c r="D40" s="7"/>
      <c r="E40" s="7"/>
      <c r="F40" s="7"/>
    </row>
    <row r="41" spans="2:6" s="3" customFormat="1" x14ac:dyDescent="0.25">
      <c r="B41" s="6"/>
      <c r="C41" s="7"/>
      <c r="D41" s="7"/>
      <c r="E41" s="7"/>
      <c r="F41" s="7"/>
    </row>
    <row r="42" spans="2:6" s="3" customFormat="1" x14ac:dyDescent="0.25">
      <c r="B42" s="6"/>
      <c r="C42" s="7"/>
      <c r="D42" s="7"/>
      <c r="E42" s="7"/>
      <c r="F42" s="7"/>
    </row>
    <row r="43" spans="2:6" s="3" customFormat="1" x14ac:dyDescent="0.25">
      <c r="B43" s="6"/>
      <c r="C43" s="7"/>
      <c r="D43" s="7"/>
      <c r="E43" s="7"/>
      <c r="F43" s="7"/>
    </row>
    <row r="44" spans="2:6" s="3" customFormat="1" x14ac:dyDescent="0.25">
      <c r="B44" s="6"/>
      <c r="C44" s="7"/>
      <c r="D44" s="7"/>
      <c r="E44" s="7"/>
      <c r="F44" s="7"/>
    </row>
    <row r="45" spans="2:6" s="3" customFormat="1" x14ac:dyDescent="0.25">
      <c r="B45" s="6"/>
      <c r="C45" s="7"/>
      <c r="D45" s="7"/>
      <c r="E45" s="7"/>
      <c r="F45" s="7"/>
    </row>
    <row r="46" spans="2:6" s="3" customFormat="1" x14ac:dyDescent="0.25">
      <c r="B46" s="6"/>
      <c r="C46" s="7"/>
      <c r="D46" s="7"/>
      <c r="E46" s="7"/>
      <c r="F46" s="7"/>
    </row>
    <row r="47" spans="2:6" s="3" customFormat="1" x14ac:dyDescent="0.25">
      <c r="B47" s="6"/>
      <c r="C47" s="7"/>
      <c r="D47" s="7"/>
      <c r="E47" s="7"/>
      <c r="F47" s="7"/>
    </row>
    <row r="48" spans="2:6" s="3" customFormat="1" x14ac:dyDescent="0.25">
      <c r="B48" s="6"/>
      <c r="C48" s="7"/>
      <c r="D48" s="7"/>
      <c r="E48" s="7"/>
      <c r="F48" s="7"/>
    </row>
    <row r="49" spans="2:6" s="3" customFormat="1" x14ac:dyDescent="0.25">
      <c r="B49" s="6"/>
      <c r="C49" s="7"/>
      <c r="D49" s="7"/>
      <c r="E49" s="7"/>
      <c r="F49" s="7"/>
    </row>
    <row r="50" spans="2:6" x14ac:dyDescent="0.25">
      <c r="B50" s="6"/>
      <c r="C50" s="7"/>
      <c r="D50" s="7"/>
      <c r="E50" s="7"/>
      <c r="F50" s="7"/>
    </row>
    <row r="51" spans="2:6" x14ac:dyDescent="0.25">
      <c r="B51" s="6"/>
      <c r="C51" s="7"/>
      <c r="D51" s="7"/>
      <c r="E51" s="7"/>
      <c r="F51" s="7"/>
    </row>
    <row r="52" spans="2:6" x14ac:dyDescent="0.25">
      <c r="B52" s="6"/>
      <c r="C52" s="7"/>
      <c r="D52" s="7"/>
      <c r="E52" s="7"/>
      <c r="F52" s="7"/>
    </row>
    <row r="53" spans="2:6" x14ac:dyDescent="0.25">
      <c r="B53" s="6"/>
      <c r="C53" s="7"/>
      <c r="D53" s="7"/>
      <c r="E53" s="7"/>
      <c r="F53" s="7"/>
    </row>
    <row r="54" spans="2:6" x14ac:dyDescent="0.25">
      <c r="B54" s="6"/>
      <c r="C54" s="7"/>
      <c r="D54" s="7"/>
      <c r="E54" s="7"/>
      <c r="F54" s="7"/>
    </row>
    <row r="55" spans="2:6" x14ac:dyDescent="0.25">
      <c r="B55" s="6"/>
      <c r="C55" s="7"/>
      <c r="D55" s="7"/>
      <c r="E55" s="7"/>
      <c r="F55" s="7"/>
    </row>
  </sheetData>
  <mergeCells count="1">
    <mergeCell ref="N5:N6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62"/>
  <sheetViews>
    <sheetView tabSelected="1" topLeftCell="A3" zoomScale="115" zoomScaleNormal="115" workbookViewId="0">
      <selection activeCell="D18" sqref="D18"/>
    </sheetView>
  </sheetViews>
  <sheetFormatPr defaultRowHeight="15" x14ac:dyDescent="0.25"/>
  <cols>
    <col min="1" max="1" width="20.42578125" style="3" bestFit="1" customWidth="1"/>
    <col min="2" max="2" width="55.42578125" bestFit="1" customWidth="1"/>
    <col min="3" max="3" width="19" bestFit="1" customWidth="1"/>
    <col min="4" max="4" width="27.42578125" bestFit="1" customWidth="1"/>
    <col min="5" max="5" width="27.42578125" customWidth="1"/>
    <col min="6" max="6" width="22" bestFit="1" customWidth="1"/>
    <col min="7" max="8" width="22" customWidth="1"/>
    <col min="9" max="9" width="16.7109375" style="3" bestFit="1" customWidth="1"/>
    <col min="10" max="16" width="9.140625" style="3"/>
    <col min="17" max="17" width="20.28515625" style="3" bestFit="1" customWidth="1"/>
    <col min="18" max="48" width="9.140625" style="3"/>
  </cols>
  <sheetData>
    <row r="1" spans="2:21" ht="9" customHeight="1" x14ac:dyDescent="0.25"/>
    <row r="2" spans="2:21" s="3" customFormat="1" x14ac:dyDescent="0.25">
      <c r="B2" s="18" t="s">
        <v>57</v>
      </c>
      <c r="C2" s="2">
        <v>0.94</v>
      </c>
    </row>
    <row r="3" spans="2:21" s="3" customFormat="1" x14ac:dyDescent="0.25"/>
    <row r="4" spans="2:21" s="3" customFormat="1" x14ac:dyDescent="0.25"/>
    <row r="5" spans="2:21" ht="39" x14ac:dyDescent="0.25">
      <c r="B5" s="18" t="s">
        <v>58</v>
      </c>
      <c r="C5" s="10" t="s">
        <v>19</v>
      </c>
      <c r="D5" s="10" t="s">
        <v>76</v>
      </c>
      <c r="E5" s="10" t="s">
        <v>83</v>
      </c>
      <c r="F5" s="10" t="s">
        <v>94</v>
      </c>
      <c r="G5" s="10" t="s">
        <v>59</v>
      </c>
      <c r="H5" s="10" t="s">
        <v>85</v>
      </c>
      <c r="I5" s="10" t="s">
        <v>84</v>
      </c>
    </row>
    <row r="6" spans="2:21" x14ac:dyDescent="0.25">
      <c r="B6" s="107" t="s">
        <v>111</v>
      </c>
      <c r="C6" s="88">
        <v>13920</v>
      </c>
      <c r="D6" s="88">
        <f>10*1*1*52</f>
        <v>520</v>
      </c>
      <c r="E6" s="2" t="s">
        <v>90</v>
      </c>
      <c r="F6" s="88">
        <v>0.3</v>
      </c>
      <c r="G6" s="88">
        <v>0</v>
      </c>
      <c r="H6" s="2">
        <f>IF(E6="Variável",(C6/D6)+(F6*$C$2)+G6,(F6*$C$2)+G6)</f>
        <v>27.05123076923077</v>
      </c>
      <c r="I6" s="2">
        <f>IFERROR((C6/D6)+(F6*$C$2)+G6,0)</f>
        <v>27.05123076923077</v>
      </c>
      <c r="Q6" s="113"/>
      <c r="R6" s="4"/>
      <c r="S6" s="4"/>
      <c r="T6" s="4"/>
      <c r="U6" s="4"/>
    </row>
    <row r="7" spans="2:21" x14ac:dyDescent="0.25">
      <c r="B7" s="102" t="s">
        <v>112</v>
      </c>
      <c r="C7" s="88">
        <v>269</v>
      </c>
      <c r="D7" s="88">
        <f>5*24*2*52</f>
        <v>12480</v>
      </c>
      <c r="E7" s="2" t="s">
        <v>90</v>
      </c>
      <c r="F7" s="88">
        <v>0.3</v>
      </c>
      <c r="G7" s="88">
        <v>0</v>
      </c>
      <c r="H7" s="2">
        <f>IF(E7="Variável",(C7/D7)+(F7*$C$2)+G7,(F7*$C$2)+G7)</f>
        <v>0.30355448717948713</v>
      </c>
      <c r="I7" s="2">
        <f t="shared" ref="I7" si="0">IFERROR((C7/D7)+(F7*$C$2)+G7,0)</f>
        <v>0.30355448717948713</v>
      </c>
      <c r="Q7" s="113"/>
      <c r="R7" s="5"/>
      <c r="S7" s="5"/>
      <c r="T7" s="5"/>
      <c r="U7" s="5"/>
    </row>
    <row r="8" spans="2:21" x14ac:dyDescent="0.25">
      <c r="B8" s="107" t="s">
        <v>113</v>
      </c>
      <c r="C8" s="88">
        <v>8750</v>
      </c>
      <c r="D8" s="88">
        <f>10*24*3*52</f>
        <v>37440</v>
      </c>
      <c r="E8" s="2" t="s">
        <v>90</v>
      </c>
      <c r="F8" s="88">
        <v>0.5</v>
      </c>
      <c r="G8" s="88">
        <v>0</v>
      </c>
      <c r="H8" s="2">
        <f>IF(E8="Variável",(C8/D8)+(F8*$C$2)+G8,(F8*$C$2)+G8)</f>
        <v>0.70370726495726488</v>
      </c>
      <c r="I8" s="2">
        <f>IFERROR((C8/D8)+(F8*$C$2)+G8,0)</f>
        <v>0.70370726495726488</v>
      </c>
      <c r="Q8" s="6"/>
      <c r="R8" s="7"/>
      <c r="S8" s="7"/>
      <c r="T8" s="7"/>
      <c r="U8" s="7"/>
    </row>
    <row r="9" spans="2:21" x14ac:dyDescent="0.25">
      <c r="B9" s="107" t="s">
        <v>114</v>
      </c>
      <c r="C9" s="88">
        <v>49900</v>
      </c>
      <c r="D9" s="88">
        <f>15*24*1*52</f>
        <v>18720</v>
      </c>
      <c r="E9" s="2" t="s">
        <v>90</v>
      </c>
      <c r="F9" s="88"/>
      <c r="G9" s="88">
        <v>0</v>
      </c>
      <c r="H9" s="2">
        <f t="shared" ref="H9:H18" si="1">IF(E9="Variável",(C9/D9)+(F9*$C$2)+G9,(F9*$C$2)+G9)</f>
        <v>2.6655982905982905</v>
      </c>
      <c r="I9" s="2">
        <f t="shared" ref="I9:I18" si="2">IFERROR((C9/D9)+(F9*$C$2)+G9,0)</f>
        <v>2.6655982905982905</v>
      </c>
      <c r="Q9" s="6"/>
      <c r="R9" s="7"/>
      <c r="S9" s="7"/>
      <c r="T9" s="7"/>
      <c r="U9" s="7"/>
    </row>
    <row r="10" spans="2:21" x14ac:dyDescent="0.25">
      <c r="B10" s="107" t="s">
        <v>149</v>
      </c>
      <c r="C10" s="88">
        <v>497392.4</v>
      </c>
      <c r="D10" s="88">
        <f>15*24*1*52</f>
        <v>18720</v>
      </c>
      <c r="E10" s="2" t="s">
        <v>90</v>
      </c>
      <c r="F10" s="88"/>
      <c r="G10" s="88">
        <v>0</v>
      </c>
      <c r="H10" s="2">
        <f t="shared" si="1"/>
        <v>26.57010683760684</v>
      </c>
      <c r="I10" s="2">
        <f t="shared" si="2"/>
        <v>26.57010683760684</v>
      </c>
      <c r="Q10" s="6"/>
      <c r="R10" s="7"/>
      <c r="S10" s="7"/>
      <c r="T10" s="7"/>
      <c r="U10" s="7"/>
    </row>
    <row r="11" spans="2:21" x14ac:dyDescent="0.25">
      <c r="B11" s="107" t="s">
        <v>151</v>
      </c>
      <c r="C11" s="88">
        <v>576.71</v>
      </c>
      <c r="D11" s="88">
        <f>15*72*1*52</f>
        <v>56160</v>
      </c>
      <c r="E11" s="2" t="s">
        <v>90</v>
      </c>
      <c r="F11" s="88"/>
      <c r="G11" s="88">
        <v>0</v>
      </c>
      <c r="H11" s="2">
        <f t="shared" si="1"/>
        <v>1.0269052706552708E-2</v>
      </c>
      <c r="I11" s="2">
        <f t="shared" si="2"/>
        <v>1.0269052706552708E-2</v>
      </c>
      <c r="Q11" s="6"/>
      <c r="R11" s="7"/>
      <c r="S11" s="7"/>
      <c r="T11" s="7"/>
      <c r="U11" s="7"/>
    </row>
    <row r="12" spans="2:21" x14ac:dyDescent="0.25">
      <c r="B12" s="107" t="s">
        <v>117</v>
      </c>
      <c r="C12" s="88">
        <v>5000</v>
      </c>
      <c r="D12" s="88">
        <f>10*24*3*52</f>
        <v>37440</v>
      </c>
      <c r="E12" s="2" t="s">
        <v>90</v>
      </c>
      <c r="F12" s="88"/>
      <c r="G12" s="88">
        <v>0</v>
      </c>
      <c r="H12" s="2">
        <f t="shared" si="1"/>
        <v>0.13354700854700854</v>
      </c>
      <c r="I12" s="2">
        <f t="shared" si="2"/>
        <v>0.13354700854700854</v>
      </c>
      <c r="Q12" s="6"/>
      <c r="R12" s="7"/>
      <c r="S12" s="7"/>
      <c r="T12" s="7"/>
      <c r="U12" s="7"/>
    </row>
    <row r="13" spans="2:21" x14ac:dyDescent="0.25">
      <c r="B13" s="107" t="s">
        <v>118</v>
      </c>
      <c r="C13" s="88">
        <v>3000</v>
      </c>
      <c r="D13" s="88">
        <f>10*24*7*52</f>
        <v>87360</v>
      </c>
      <c r="E13" s="2" t="s">
        <v>90</v>
      </c>
      <c r="F13" s="88"/>
      <c r="G13" s="88">
        <v>0</v>
      </c>
      <c r="H13" s="2">
        <f t="shared" si="1"/>
        <v>3.4340659340659344E-2</v>
      </c>
      <c r="I13" s="2">
        <f t="shared" si="2"/>
        <v>3.4340659340659344E-2</v>
      </c>
      <c r="Q13" s="6"/>
      <c r="R13" s="7"/>
      <c r="S13" s="7"/>
      <c r="T13" s="7"/>
      <c r="U13" s="7"/>
    </row>
    <row r="14" spans="2:21" x14ac:dyDescent="0.25">
      <c r="B14" s="107" t="s">
        <v>119</v>
      </c>
      <c r="C14" s="88">
        <v>5000</v>
      </c>
      <c r="D14" s="88">
        <f>10*24*7*52</f>
        <v>87360</v>
      </c>
      <c r="E14" s="2" t="s">
        <v>90</v>
      </c>
      <c r="F14" s="88"/>
      <c r="G14" s="88">
        <v>0</v>
      </c>
      <c r="H14" s="2">
        <f t="shared" si="1"/>
        <v>5.7234432234432232E-2</v>
      </c>
      <c r="I14" s="2">
        <f t="shared" si="2"/>
        <v>5.7234432234432232E-2</v>
      </c>
      <c r="Q14" s="6"/>
      <c r="R14" s="7"/>
      <c r="S14" s="7"/>
      <c r="T14" s="7"/>
      <c r="U14" s="7"/>
    </row>
    <row r="15" spans="2:21" s="3" customFormat="1" x14ac:dyDescent="0.25">
      <c r="B15" s="102" t="s">
        <v>148</v>
      </c>
      <c r="C15" s="88">
        <v>13920</v>
      </c>
      <c r="D15" s="88">
        <f>10*2*1*52</f>
        <v>1040</v>
      </c>
      <c r="E15" s="2" t="s">
        <v>90</v>
      </c>
      <c r="F15" s="88">
        <v>0.5</v>
      </c>
      <c r="G15" s="88">
        <v>0</v>
      </c>
      <c r="H15" s="2">
        <f t="shared" si="1"/>
        <v>13.854615384615386</v>
      </c>
      <c r="I15" s="2">
        <f t="shared" si="2"/>
        <v>13.854615384615386</v>
      </c>
      <c r="Q15" s="6"/>
      <c r="R15" s="7"/>
      <c r="S15" s="7"/>
      <c r="T15" s="7"/>
      <c r="U15" s="7"/>
    </row>
    <row r="16" spans="2:21" s="3" customFormat="1" x14ac:dyDescent="0.25">
      <c r="B16" s="102" t="s">
        <v>121</v>
      </c>
      <c r="C16" s="88">
        <v>4006.5</v>
      </c>
      <c r="D16" s="88">
        <f>10*2*1*52</f>
        <v>1040</v>
      </c>
      <c r="E16" s="2" t="s">
        <v>90</v>
      </c>
      <c r="F16" s="88"/>
      <c r="G16" s="88">
        <v>0</v>
      </c>
      <c r="H16" s="2">
        <f t="shared" si="1"/>
        <v>3.8524038461538463</v>
      </c>
      <c r="I16" s="2">
        <f t="shared" si="2"/>
        <v>3.8524038461538463</v>
      </c>
      <c r="Q16" s="6"/>
      <c r="R16" s="7"/>
      <c r="S16" s="7"/>
      <c r="T16" s="7"/>
      <c r="U16" s="7"/>
    </row>
    <row r="17" spans="1:21" s="3" customFormat="1" x14ac:dyDescent="0.25">
      <c r="B17" s="102" t="s">
        <v>122</v>
      </c>
      <c r="C17" s="88">
        <v>2500</v>
      </c>
      <c r="D17" s="88">
        <f>10*24*7*52</f>
        <v>87360</v>
      </c>
      <c r="E17" s="2" t="s">
        <v>90</v>
      </c>
      <c r="F17" s="88"/>
      <c r="G17" s="88">
        <v>0</v>
      </c>
      <c r="H17" s="2">
        <f t="shared" ref="H17" si="3">IF(E17="Variável",(C17/D17)+(F17*$C$2)+G17,(F17*$C$2)+G17)</f>
        <v>2.8617216117216116E-2</v>
      </c>
      <c r="I17" s="2">
        <f t="shared" ref="I17" si="4">IFERROR((C17/D17)+(F17*$C$2)+G17,0)</f>
        <v>2.8617216117216116E-2</v>
      </c>
      <c r="Q17" s="6"/>
      <c r="R17" s="7"/>
      <c r="S17" s="7"/>
      <c r="T17" s="7"/>
      <c r="U17" s="7"/>
    </row>
    <row r="18" spans="1:21" s="3" customFormat="1" x14ac:dyDescent="0.25">
      <c r="B18" s="102" t="s">
        <v>152</v>
      </c>
      <c r="C18" s="88">
        <v>427</v>
      </c>
      <c r="D18" s="88">
        <f>10*4*2*52</f>
        <v>4160</v>
      </c>
      <c r="E18" s="2" t="s">
        <v>90</v>
      </c>
      <c r="F18" s="88"/>
      <c r="G18" s="88">
        <v>0</v>
      </c>
      <c r="H18" s="2">
        <f t="shared" si="1"/>
        <v>0.10264423076923077</v>
      </c>
      <c r="I18" s="2">
        <f t="shared" si="2"/>
        <v>0.10264423076923077</v>
      </c>
      <c r="Q18" s="6"/>
      <c r="R18" s="7"/>
      <c r="S18" s="7"/>
      <c r="T18" s="7"/>
      <c r="U18" s="7"/>
    </row>
    <row r="19" spans="1:21" s="3" customFormat="1" x14ac:dyDescent="0.25">
      <c r="B19" s="6"/>
      <c r="C19" s="7"/>
      <c r="D19" s="7"/>
      <c r="E19" s="7"/>
      <c r="F19" s="7"/>
      <c r="G19" s="7"/>
      <c r="H19" s="7"/>
      <c r="I19" s="7"/>
      <c r="Q19" s="6"/>
      <c r="R19" s="7"/>
      <c r="S19" s="7"/>
      <c r="T19" s="7"/>
      <c r="U19" s="7"/>
    </row>
    <row r="20" spans="1:21" s="3" customFormat="1" x14ac:dyDescent="0.25">
      <c r="A20"/>
      <c r="B20" s="6"/>
      <c r="C20" s="7"/>
      <c r="D20" s="7"/>
      <c r="E20" s="7"/>
      <c r="F20" s="7"/>
      <c r="G20" s="7"/>
      <c r="H20" s="7"/>
      <c r="I20" s="7"/>
      <c r="Q20" s="6"/>
      <c r="R20" s="7"/>
      <c r="S20" s="7"/>
      <c r="T20" s="7"/>
      <c r="U20" s="7"/>
    </row>
    <row r="21" spans="1:21" s="3" customFormat="1" x14ac:dyDescent="0.25">
      <c r="B21" s="6"/>
      <c r="C21" s="7"/>
      <c r="D21" s="7"/>
      <c r="E21" s="7"/>
      <c r="F21" s="7"/>
      <c r="G21" s="7"/>
      <c r="H21" s="7"/>
      <c r="I21" s="7"/>
    </row>
    <row r="22" spans="1:21" s="3" customFormat="1" x14ac:dyDescent="0.25">
      <c r="B22" s="6"/>
      <c r="C22" s="7"/>
      <c r="D22" s="7"/>
      <c r="E22" s="7"/>
      <c r="F22" s="7"/>
      <c r="G22" s="7"/>
      <c r="H22" s="7"/>
      <c r="I22" s="7"/>
    </row>
    <row r="23" spans="1:21" s="3" customFormat="1" x14ac:dyDescent="0.25">
      <c r="B23" s="6"/>
      <c r="C23" s="7"/>
      <c r="D23" s="7"/>
      <c r="E23" s="7"/>
      <c r="F23" s="7"/>
      <c r="G23" s="7"/>
      <c r="H23" s="7"/>
      <c r="I23" s="7"/>
    </row>
    <row r="24" spans="1:21" s="3" customFormat="1" x14ac:dyDescent="0.25">
      <c r="B24" s="6"/>
      <c r="C24" s="7"/>
      <c r="D24" s="7"/>
      <c r="E24" s="7"/>
      <c r="F24" s="7"/>
      <c r="G24" s="7"/>
      <c r="H24" s="7"/>
      <c r="I24" s="7"/>
    </row>
    <row r="25" spans="1:21" s="3" customFormat="1" x14ac:dyDescent="0.25">
      <c r="B25" s="6"/>
      <c r="C25" s="7"/>
      <c r="D25" s="7"/>
      <c r="E25" s="7"/>
      <c r="F25" s="7"/>
      <c r="G25" s="7"/>
      <c r="H25" s="7"/>
      <c r="I25" s="7"/>
    </row>
    <row r="26" spans="1:21" s="3" customFormat="1" x14ac:dyDescent="0.25">
      <c r="B26" s="6"/>
      <c r="C26" s="7"/>
      <c r="D26" s="7"/>
      <c r="E26" s="7"/>
      <c r="F26" s="7"/>
      <c r="G26" s="7"/>
      <c r="H26" s="7"/>
      <c r="I26" s="7"/>
    </row>
    <row r="27" spans="1:21" s="3" customFormat="1" x14ac:dyDescent="0.25">
      <c r="B27" s="6"/>
      <c r="C27" s="7"/>
      <c r="D27" s="7"/>
      <c r="E27" s="7"/>
      <c r="F27" s="7"/>
      <c r="G27" s="7"/>
      <c r="H27" s="7"/>
      <c r="I27" s="7"/>
    </row>
    <row r="28" spans="1:21" s="3" customFormat="1" x14ac:dyDescent="0.25">
      <c r="B28" s="6"/>
      <c r="C28" s="7"/>
      <c r="D28" s="7"/>
      <c r="E28" s="7"/>
      <c r="F28" s="7"/>
      <c r="G28" s="7"/>
      <c r="H28" s="7"/>
      <c r="I28" s="7"/>
    </row>
    <row r="29" spans="1:21" s="3" customFormat="1" x14ac:dyDescent="0.25">
      <c r="B29" s="6"/>
      <c r="C29" s="7"/>
      <c r="D29" s="7"/>
      <c r="E29" s="7"/>
      <c r="F29" s="7"/>
      <c r="G29" s="7"/>
      <c r="H29" s="7"/>
      <c r="I29" s="7"/>
    </row>
    <row r="30" spans="1:21" s="3" customFormat="1" x14ac:dyDescent="0.25">
      <c r="B30" s="6"/>
      <c r="C30" s="7"/>
      <c r="D30" s="7"/>
      <c r="E30" s="7"/>
      <c r="F30" s="7"/>
      <c r="G30" s="7"/>
      <c r="H30" s="7"/>
      <c r="I30" s="7"/>
    </row>
    <row r="31" spans="1:21" s="3" customFormat="1" x14ac:dyDescent="0.25">
      <c r="B31" s="6"/>
      <c r="C31" s="7"/>
      <c r="D31" s="7"/>
      <c r="E31" s="7"/>
      <c r="F31" s="7"/>
      <c r="G31" s="7"/>
      <c r="H31" s="7"/>
      <c r="I31" s="7"/>
    </row>
    <row r="32" spans="1:21" s="3" customFormat="1" x14ac:dyDescent="0.25">
      <c r="B32" s="6"/>
      <c r="C32" s="7"/>
      <c r="D32" s="7"/>
      <c r="E32" s="7"/>
      <c r="F32" s="7"/>
      <c r="G32" s="7"/>
      <c r="H32" s="7"/>
      <c r="I32" s="7"/>
    </row>
    <row r="33" spans="2:9" s="3" customFormat="1" x14ac:dyDescent="0.25">
      <c r="B33" s="6"/>
      <c r="C33" s="7"/>
      <c r="D33" s="7"/>
      <c r="E33" s="7"/>
      <c r="F33" s="7"/>
      <c r="G33" s="7"/>
      <c r="H33" s="7"/>
      <c r="I33" s="7"/>
    </row>
    <row r="34" spans="2:9" s="3" customFormat="1" x14ac:dyDescent="0.25">
      <c r="B34" s="6"/>
      <c r="C34" s="7"/>
      <c r="D34" s="7"/>
      <c r="E34" s="7"/>
      <c r="F34" s="7"/>
      <c r="G34" s="7"/>
      <c r="H34" s="7"/>
      <c r="I34" s="7"/>
    </row>
    <row r="35" spans="2:9" s="3" customFormat="1" x14ac:dyDescent="0.25">
      <c r="B35" s="6"/>
      <c r="C35" s="7"/>
      <c r="D35" s="7"/>
      <c r="E35" s="7"/>
      <c r="F35" s="7"/>
      <c r="G35" s="7"/>
      <c r="H35" s="7"/>
      <c r="I35" s="7"/>
    </row>
    <row r="36" spans="2:9" s="3" customFormat="1" x14ac:dyDescent="0.25">
      <c r="B36" s="6"/>
      <c r="C36" s="7"/>
      <c r="D36" s="7"/>
      <c r="E36" s="7"/>
      <c r="F36" s="7"/>
      <c r="G36" s="7"/>
      <c r="H36" s="7"/>
      <c r="I36" s="7"/>
    </row>
    <row r="37" spans="2:9" s="3" customFormat="1" x14ac:dyDescent="0.25">
      <c r="B37" s="6"/>
      <c r="C37" s="7"/>
      <c r="D37" s="7"/>
      <c r="E37" s="7"/>
      <c r="F37" s="7"/>
      <c r="G37" s="7"/>
      <c r="H37" s="7"/>
      <c r="I37" s="7"/>
    </row>
    <row r="38" spans="2:9" s="3" customFormat="1" x14ac:dyDescent="0.25">
      <c r="B38" s="6"/>
      <c r="C38" s="7"/>
      <c r="D38" s="7"/>
      <c r="E38" s="7"/>
      <c r="F38" s="7"/>
      <c r="G38" s="7"/>
      <c r="H38" s="7"/>
      <c r="I38" s="7"/>
    </row>
    <row r="39" spans="2:9" s="3" customFormat="1" x14ac:dyDescent="0.25">
      <c r="B39" s="6"/>
      <c r="C39" s="7"/>
      <c r="D39" s="7"/>
      <c r="E39" s="7"/>
      <c r="F39" s="7"/>
      <c r="G39" s="7"/>
      <c r="H39" s="7"/>
      <c r="I39" s="7"/>
    </row>
    <row r="40" spans="2:9" s="3" customFormat="1" x14ac:dyDescent="0.25">
      <c r="B40" s="6"/>
      <c r="C40" s="7"/>
      <c r="D40" s="7"/>
      <c r="E40" s="7"/>
      <c r="F40" s="7"/>
      <c r="G40" s="7"/>
      <c r="H40" s="7"/>
      <c r="I40" s="7"/>
    </row>
    <row r="41" spans="2:9" s="3" customFormat="1" x14ac:dyDescent="0.25">
      <c r="B41" s="6"/>
      <c r="C41" s="7"/>
      <c r="D41" s="7"/>
      <c r="E41" s="7"/>
      <c r="F41" s="7"/>
      <c r="G41" s="7"/>
      <c r="H41" s="7"/>
      <c r="I41" s="7"/>
    </row>
    <row r="42" spans="2:9" s="3" customFormat="1" x14ac:dyDescent="0.25">
      <c r="B42" s="6"/>
      <c r="C42" s="7"/>
      <c r="D42" s="7"/>
      <c r="E42" s="7"/>
      <c r="F42" s="7"/>
      <c r="G42" s="7"/>
      <c r="H42" s="7"/>
      <c r="I42" s="7"/>
    </row>
    <row r="43" spans="2:9" s="3" customFormat="1" x14ac:dyDescent="0.25">
      <c r="B43" s="6"/>
      <c r="C43" s="7"/>
      <c r="D43" s="7"/>
      <c r="E43" s="7"/>
      <c r="F43" s="7"/>
      <c r="G43" s="7"/>
      <c r="H43" s="7"/>
      <c r="I43" s="7"/>
    </row>
    <row r="44" spans="2:9" s="3" customFormat="1" x14ac:dyDescent="0.25">
      <c r="B44" s="6"/>
      <c r="C44" s="7"/>
      <c r="D44" s="7"/>
      <c r="E44" s="7"/>
      <c r="F44" s="7"/>
      <c r="G44" s="7"/>
      <c r="H44" s="7"/>
      <c r="I44" s="7"/>
    </row>
    <row r="45" spans="2:9" s="3" customFormat="1" x14ac:dyDescent="0.25">
      <c r="B45" s="6"/>
      <c r="C45" s="7"/>
      <c r="D45" s="7"/>
      <c r="E45" s="7"/>
      <c r="F45" s="7"/>
      <c r="G45" s="7"/>
      <c r="H45" s="7"/>
      <c r="I45" s="7"/>
    </row>
    <row r="46" spans="2:9" s="3" customFormat="1" x14ac:dyDescent="0.25">
      <c r="B46" s="6"/>
      <c r="C46" s="7"/>
      <c r="D46" s="7"/>
      <c r="E46" s="7"/>
      <c r="F46" s="7"/>
      <c r="G46" s="7"/>
      <c r="H46" s="7"/>
      <c r="I46" s="7"/>
    </row>
    <row r="47" spans="2:9" s="3" customFormat="1" x14ac:dyDescent="0.25">
      <c r="B47" s="6"/>
      <c r="C47" s="7"/>
      <c r="D47" s="7"/>
      <c r="E47" s="7"/>
      <c r="F47" s="7"/>
      <c r="G47" s="7"/>
      <c r="H47" s="7"/>
      <c r="I47" s="7"/>
    </row>
    <row r="48" spans="2:9" s="3" customFormat="1" x14ac:dyDescent="0.25">
      <c r="B48" s="6"/>
      <c r="C48" s="7"/>
      <c r="D48" s="7"/>
      <c r="E48" s="7"/>
      <c r="F48" s="7"/>
      <c r="G48" s="7"/>
      <c r="H48" s="7"/>
      <c r="I48" s="7"/>
    </row>
    <row r="49" spans="2:9" s="3" customFormat="1" x14ac:dyDescent="0.25">
      <c r="B49" s="6"/>
      <c r="C49" s="7"/>
      <c r="D49" s="7"/>
      <c r="E49" s="7"/>
      <c r="F49" s="7"/>
      <c r="G49" s="7"/>
      <c r="H49" s="7"/>
      <c r="I49" s="7"/>
    </row>
    <row r="50" spans="2:9" s="3" customFormat="1" x14ac:dyDescent="0.25">
      <c r="B50" s="6"/>
      <c r="C50" s="7"/>
      <c r="D50" s="7"/>
      <c r="E50" s="7"/>
      <c r="F50" s="7"/>
      <c r="G50" s="7"/>
      <c r="H50" s="7"/>
      <c r="I50" s="7"/>
    </row>
    <row r="51" spans="2:9" s="3" customFormat="1" x14ac:dyDescent="0.25">
      <c r="B51" s="6"/>
      <c r="C51" s="7"/>
      <c r="D51" s="7"/>
      <c r="E51" s="7"/>
      <c r="F51" s="7"/>
      <c r="G51" s="7"/>
      <c r="H51" s="7"/>
      <c r="I51" s="7"/>
    </row>
    <row r="52" spans="2:9" s="3" customFormat="1" x14ac:dyDescent="0.25">
      <c r="B52" s="6"/>
      <c r="C52" s="7"/>
      <c r="D52" s="7"/>
      <c r="E52" s="7"/>
      <c r="F52" s="7"/>
      <c r="G52" s="7"/>
      <c r="H52" s="7"/>
      <c r="I52" s="7"/>
    </row>
    <row r="53" spans="2:9" s="3" customFormat="1" x14ac:dyDescent="0.25">
      <c r="B53" s="6"/>
      <c r="C53" s="7"/>
      <c r="D53" s="7"/>
      <c r="E53" s="7"/>
      <c r="F53" s="7"/>
      <c r="G53" s="7"/>
      <c r="H53" s="7"/>
      <c r="I53" s="7"/>
    </row>
    <row r="54" spans="2:9" s="3" customFormat="1" x14ac:dyDescent="0.25">
      <c r="B54" s="6"/>
      <c r="C54" s="7"/>
      <c r="D54" s="7"/>
      <c r="E54" s="7"/>
      <c r="F54" s="7"/>
      <c r="G54" s="7"/>
      <c r="H54" s="7"/>
      <c r="I54" s="7"/>
    </row>
    <row r="55" spans="2:9" s="3" customFormat="1" x14ac:dyDescent="0.25">
      <c r="B55" s="6"/>
      <c r="C55" s="7"/>
      <c r="D55" s="7"/>
      <c r="E55" s="7"/>
      <c r="F55" s="7"/>
      <c r="G55" s="7"/>
      <c r="H55" s="7"/>
      <c r="I55" s="7"/>
    </row>
    <row r="56" spans="2:9" s="3" customFormat="1" x14ac:dyDescent="0.25">
      <c r="B56" s="6"/>
      <c r="C56" s="7"/>
      <c r="D56" s="7"/>
      <c r="E56" s="7"/>
      <c r="F56" s="7"/>
      <c r="G56" s="7"/>
      <c r="H56" s="7"/>
      <c r="I56" s="7"/>
    </row>
    <row r="57" spans="2:9" x14ac:dyDescent="0.25">
      <c r="B57" s="6"/>
      <c r="C57" s="7"/>
      <c r="D57" s="7"/>
      <c r="E57" s="7"/>
      <c r="F57" s="7"/>
      <c r="G57" s="7"/>
      <c r="H57" s="7"/>
      <c r="I57" s="7"/>
    </row>
    <row r="58" spans="2:9" x14ac:dyDescent="0.25">
      <c r="B58" s="6"/>
      <c r="C58" s="7"/>
      <c r="D58" s="7"/>
      <c r="E58" s="7"/>
      <c r="F58" s="7"/>
      <c r="G58" s="7"/>
      <c r="H58" s="7"/>
      <c r="I58" s="7"/>
    </row>
    <row r="59" spans="2:9" x14ac:dyDescent="0.25">
      <c r="B59" s="6"/>
      <c r="C59" s="7"/>
      <c r="D59" s="7"/>
      <c r="E59" s="7"/>
      <c r="F59" s="7"/>
      <c r="G59" s="7"/>
      <c r="H59" s="7"/>
      <c r="I59" s="7"/>
    </row>
    <row r="60" spans="2:9" x14ac:dyDescent="0.25">
      <c r="B60" s="6"/>
      <c r="C60" s="7"/>
      <c r="D60" s="7"/>
      <c r="E60" s="7"/>
      <c r="F60" s="7"/>
      <c r="G60" s="7"/>
      <c r="H60" s="7"/>
      <c r="I60" s="7"/>
    </row>
    <row r="61" spans="2:9" x14ac:dyDescent="0.25">
      <c r="B61" s="6"/>
      <c r="C61" s="7"/>
      <c r="D61" s="7"/>
      <c r="E61" s="7"/>
      <c r="F61" s="7"/>
      <c r="G61" s="7"/>
      <c r="H61" s="7"/>
      <c r="I61" s="7"/>
    </row>
    <row r="62" spans="2:9" x14ac:dyDescent="0.25">
      <c r="B62" s="6"/>
      <c r="C62" s="7"/>
      <c r="D62" s="7"/>
      <c r="E62" s="7"/>
      <c r="F62" s="7"/>
      <c r="G62" s="7"/>
      <c r="H62" s="7"/>
      <c r="I62" s="7"/>
    </row>
  </sheetData>
  <mergeCells count="1">
    <mergeCell ref="Q6:Q7"/>
  </mergeCells>
  <dataValidations count="2">
    <dataValidation type="list" allowBlank="1" showInputMessage="1" showErrorMessage="1" sqref="E6:E18" xr:uid="{00000000-0002-0000-0300-000000000000}">
      <formula1>"Fixo, Variável"</formula1>
    </dataValidation>
    <dataValidation type="list" allowBlank="1" showInputMessage="1" showErrorMessage="1" sqref="B6 B8:B14" xr:uid="{00000000-0002-0000-0300-000001000000}">
      <formula1>$B$5:$B$16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showGridLines="0" workbookViewId="0">
      <selection activeCell="A19" sqref="A19"/>
    </sheetView>
  </sheetViews>
  <sheetFormatPr defaultRowHeight="15" x14ac:dyDescent="0.25"/>
  <cols>
    <col min="1" max="1" width="41.140625" bestFit="1" customWidth="1"/>
  </cols>
  <sheetData>
    <row r="1" spans="1:1" x14ac:dyDescent="0.25">
      <c r="A1" s="9" t="s">
        <v>73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s="93" t="s">
        <v>103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Grupos de custos - Anotacoes</vt:lpstr>
      <vt:lpstr>Preco e Custo por Servico</vt:lpstr>
      <vt:lpstr>Custo de mão de obra</vt:lpstr>
      <vt:lpstr>Custos com equipamentos</vt:lpstr>
      <vt:lpstr>Plataformas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Jéssica</dc:creator>
  <cp:lastModifiedBy>IVANILDES BASTOS</cp:lastModifiedBy>
  <dcterms:created xsi:type="dcterms:W3CDTF">2019-01-18T13:16:39Z</dcterms:created>
  <dcterms:modified xsi:type="dcterms:W3CDTF">2020-10-08T03:29:55Z</dcterms:modified>
</cp:coreProperties>
</file>